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'ведомств'!$A$1:$J$617</definedName>
    <definedName name="_xlnm.Print_Area" localSheetId="0">'разд,подр'!$A$1:$F$77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H547" authorId="0">
      <text>
        <r>
          <rPr>
            <sz val="8"/>
            <rFont val="Tahoma"/>
            <family val="0"/>
          </rPr>
          <t>доп.из обл.бюдж</t>
        </r>
      </text>
    </comment>
    <comment ref="H179" authorId="0">
      <text>
        <r>
          <rPr>
            <sz val="8"/>
            <rFont val="Tahoma"/>
            <family val="0"/>
          </rPr>
          <t>доп.обл.бюдж.</t>
        </r>
      </text>
    </comment>
    <comment ref="H466" authorId="0">
      <text>
        <r>
          <rPr>
            <sz val="8"/>
            <rFont val="Tahoma"/>
            <family val="0"/>
          </rPr>
          <t>доп.обл.бюдж.</t>
        </r>
      </text>
    </comment>
    <comment ref="H531" authorId="0">
      <text>
        <r>
          <rPr>
            <sz val="8"/>
            <rFont val="Tahoma"/>
            <family val="0"/>
          </rPr>
          <t>по увед обл.минус 178500
164000-в поселения( Мез-16000,Дор-118000,Жер-30000
644000-в отд.культ
1700000 перенос в ОК-300000,посел.-1400000</t>
        </r>
      </text>
    </comment>
    <comment ref="H317" authorId="0">
      <text>
        <r>
          <rPr>
            <sz val="8"/>
            <rFont val="Tahoma"/>
            <family val="0"/>
          </rPr>
          <t>доп.из обл.</t>
        </r>
      </text>
    </comment>
    <comment ref="H74" authorId="0">
      <text>
        <r>
          <rPr>
            <sz val="8"/>
            <rFont val="Tahoma"/>
            <family val="0"/>
          </rPr>
          <t>Фонд Саровского кресты-133795
звонари-8000
ремонт музея-50000
36000-пер из аппарата
20000-фест.зол.осень</t>
        </r>
      </text>
    </comment>
    <comment ref="H450" authorId="0">
      <text>
        <r>
          <rPr>
            <sz val="8"/>
            <rFont val="Tahoma"/>
            <family val="0"/>
          </rPr>
          <t>доп.обл</t>
        </r>
      </text>
    </comment>
    <comment ref="H448" authorId="0">
      <text>
        <r>
          <rPr>
            <sz val="8"/>
            <rFont val="Tahoma"/>
            <family val="0"/>
          </rPr>
          <t>доп.</t>
        </r>
      </text>
    </comment>
    <comment ref="H244" authorId="0">
      <text>
        <r>
          <rPr>
            <sz val="8"/>
            <rFont val="Tahoma"/>
            <family val="0"/>
          </rPr>
          <t xml:space="preserve">доп.на спорт.оборуд.
</t>
        </r>
      </text>
    </comment>
    <comment ref="H151" authorId="0">
      <text>
        <r>
          <rPr>
            <sz val="8"/>
            <rFont val="Tahoma"/>
            <family val="0"/>
          </rPr>
          <t>ремонт интерната из рез.Прав.</t>
        </r>
      </text>
    </comment>
    <comment ref="H43" authorId="0">
      <text>
        <r>
          <rPr>
            <sz val="8"/>
            <rFont val="Tahoma"/>
            <family val="2"/>
          </rPr>
          <t>доп.обл.бюд</t>
        </r>
      </text>
    </comment>
    <comment ref="H326" authorId="0">
      <text>
        <r>
          <rPr>
            <sz val="8"/>
            <rFont val="Tahoma"/>
            <family val="0"/>
          </rPr>
          <t>160338,59 за счет сод.мун.им-ва
12028-налог на им-во
40000-провоз (3653,94 за счет 0113 36346,06 из 0408 доставка )госстрнадз.доп.мест
38000-из сод.им-ва
3653,94-за счет 0113</t>
        </r>
      </text>
    </comment>
    <comment ref="H323" authorId="0">
      <text>
        <r>
          <rPr>
            <sz val="8"/>
            <rFont val="Tahoma"/>
            <family val="0"/>
          </rPr>
          <t>в хоз.службу на отопление</t>
        </r>
      </text>
    </comment>
    <comment ref="H518" authorId="0">
      <text>
        <r>
          <rPr>
            <sz val="8"/>
            <rFont val="Tahoma"/>
            <family val="0"/>
          </rPr>
          <t>по доп.контракту на оборудование 7 млн.
пер.144364,03 в 003
пер из 500 98462,5
пер а500 96993,17</t>
        </r>
      </text>
    </comment>
    <comment ref="H185" authorId="0">
      <text>
        <r>
          <rPr>
            <sz val="8"/>
            <rFont val="Tahoma"/>
            <family val="0"/>
          </rPr>
          <t>перенос из 028</t>
        </r>
      </text>
    </comment>
    <comment ref="H336" authorId="0">
      <text>
        <r>
          <rPr>
            <sz val="8"/>
            <rFont val="Tahoma"/>
            <family val="0"/>
          </rPr>
          <t>налоги переч.в пос-124024,83, в учрежд-371070,29</t>
        </r>
      </text>
    </comment>
    <comment ref="H288" authorId="0">
      <text>
        <r>
          <rPr>
            <sz val="8"/>
            <rFont val="Tahoma"/>
            <family val="0"/>
          </rPr>
          <t>налог на им-во</t>
        </r>
      </text>
    </comment>
    <comment ref="H615" authorId="0">
      <text>
        <r>
          <rPr>
            <sz val="8"/>
            <rFont val="Tahoma"/>
            <family val="0"/>
          </rPr>
          <t>перенос из 0113</t>
        </r>
      </text>
    </comment>
    <comment ref="H68" authorId="0">
      <text>
        <r>
          <rPr>
            <sz val="8"/>
            <rFont val="Tahoma"/>
            <family val="0"/>
          </rPr>
          <t>доп.налог на им-во-23128</t>
        </r>
      </text>
    </comment>
    <comment ref="H88" authorId="0">
      <text>
        <r>
          <rPr>
            <sz val="8"/>
            <rFont val="Tahoma"/>
            <family val="0"/>
          </rPr>
          <t xml:space="preserve">доп.нал.ни им-во-1395
36000 пер в меропр.по культ
</t>
        </r>
      </text>
    </comment>
    <comment ref="H36" authorId="0">
      <text>
        <r>
          <rPr>
            <sz val="8"/>
            <rFont val="Tahoma"/>
            <family val="0"/>
          </rPr>
          <t>доп.налог на им-во-1537</t>
        </r>
      </text>
    </comment>
    <comment ref="H64" authorId="0">
      <text>
        <r>
          <rPr>
            <sz val="8"/>
            <rFont val="Tahoma"/>
            <family val="0"/>
          </rPr>
          <t>30531-нал.на им-во
557528,25-передача полн от посел.</t>
        </r>
      </text>
    </comment>
    <comment ref="H264" authorId="0">
      <text>
        <r>
          <rPr>
            <sz val="8"/>
            <rFont val="Tahoma"/>
            <family val="0"/>
          </rPr>
          <t>3090-нал.на им-во</t>
        </r>
      </text>
    </comment>
    <comment ref="H160" authorId="0">
      <text>
        <r>
          <rPr>
            <sz val="8"/>
            <rFont val="Tahoma"/>
            <family val="2"/>
          </rPr>
          <t>201-нал.на им-во</t>
        </r>
      </text>
    </comment>
    <comment ref="H154" authorId="0">
      <text>
        <r>
          <rPr>
            <sz val="8"/>
            <rFont val="Tahoma"/>
            <family val="0"/>
          </rPr>
          <t>нал.на им-во-274247,29
пер в 703-136043,30
пер.из0701</t>
        </r>
      </text>
    </comment>
    <comment ref="H131" authorId="0">
      <text>
        <r>
          <rPr>
            <sz val="8"/>
            <rFont val="Tahoma"/>
            <family val="0"/>
          </rPr>
          <t xml:space="preserve">24575-нал.ни им-во
пер.224532 в 703
550025,35 в 703
405000 пер в 0702-235000, 0709-170000
</t>
        </r>
      </text>
    </comment>
    <comment ref="H164" authorId="0">
      <text>
        <r>
          <rPr>
            <sz val="8"/>
            <rFont val="Tahoma"/>
            <family val="0"/>
          </rPr>
          <t xml:space="preserve">перенос в 703
</t>
        </r>
      </text>
    </comment>
    <comment ref="H165" authorId="0">
      <text>
        <r>
          <rPr>
            <sz val="8"/>
            <rFont val="Tahoma"/>
            <family val="0"/>
          </rPr>
          <t xml:space="preserve">пер из 500
</t>
        </r>
      </text>
    </comment>
    <comment ref="H155" authorId="0">
      <text>
        <r>
          <rPr>
            <sz val="8"/>
            <rFont val="Tahoma"/>
            <family val="0"/>
          </rPr>
          <t>200-из 0701
100 000-интернат мест.доп.
136043,3-пер из 702</t>
        </r>
      </text>
    </comment>
    <comment ref="H132" authorId="0">
      <text>
        <r>
          <rPr>
            <sz val="8"/>
            <rFont val="Tahoma"/>
            <family val="0"/>
          </rPr>
          <t>пер 200 в 0702
224532 пер из 702
550025,35  из 702</t>
        </r>
      </text>
    </comment>
    <comment ref="H79" authorId="0">
      <text>
        <r>
          <rPr>
            <sz val="8"/>
            <rFont val="Tahoma"/>
            <family val="0"/>
          </rPr>
          <t>пер.из 028</t>
        </r>
      </text>
    </comment>
    <comment ref="H550" authorId="0">
      <text>
        <r>
          <rPr>
            <sz val="8"/>
            <rFont val="Tahoma"/>
            <family val="0"/>
          </rPr>
          <t xml:space="preserve">соц.пом.доп.мест-5000
выпл.поч.гражд-20000
</t>
        </r>
      </text>
    </comment>
    <comment ref="H199" authorId="0">
      <text>
        <r>
          <rPr>
            <sz val="8"/>
            <rFont val="Tahoma"/>
            <family val="0"/>
          </rPr>
          <t>3000 пер в 703</t>
        </r>
      </text>
    </comment>
    <comment ref="H200" authorId="0">
      <text>
        <r>
          <rPr>
            <sz val="8"/>
            <rFont val="Tahoma"/>
            <family val="0"/>
          </rPr>
          <t>пер.из 702</t>
        </r>
      </text>
    </comment>
    <comment ref="H519" authorId="0">
      <text>
        <r>
          <rPr>
            <sz val="8"/>
            <rFont val="Tahoma"/>
            <family val="0"/>
          </rPr>
          <t>пер. в 003 144364,03
из 003 98462,5
из 003-96993,17</t>
        </r>
      </text>
    </comment>
    <comment ref="H171" authorId="0">
      <text>
        <r>
          <rPr>
            <sz val="8"/>
            <rFont val="Tahoma"/>
            <family val="0"/>
          </rPr>
          <t>пер.в 500</t>
        </r>
      </text>
    </comment>
    <comment ref="H172" authorId="0">
      <text>
        <r>
          <rPr>
            <sz val="8"/>
            <rFont val="Tahoma"/>
            <family val="0"/>
          </rPr>
          <t>пер в 702</t>
        </r>
      </text>
    </comment>
    <comment ref="H491" authorId="0">
      <text>
        <r>
          <rPr>
            <sz val="8"/>
            <rFont val="Tahoma"/>
            <family val="0"/>
          </rPr>
          <t>МО Мез-34000 рем.дор.Заак
мо Целег-50 000 из 0408</t>
        </r>
      </text>
    </comment>
    <comment ref="H384" authorId="0">
      <text>
        <r>
          <rPr>
            <sz val="8"/>
            <rFont val="Tahoma"/>
            <family val="2"/>
          </rPr>
          <t>перенос в МО Целег.благ-во</t>
        </r>
      </text>
    </comment>
    <comment ref="H212" authorId="0">
      <text>
        <r>
          <rPr>
            <sz val="8"/>
            <rFont val="Tahoma"/>
            <family val="0"/>
          </rPr>
          <t>пер. 170000 из 0701</t>
        </r>
      </text>
    </comment>
    <comment ref="H263" authorId="0">
      <text>
        <r>
          <rPr>
            <sz val="8"/>
            <rFont val="Tahoma"/>
            <family val="0"/>
          </rPr>
          <t>9488,6-предст.</t>
        </r>
      </text>
    </comment>
    <comment ref="H475" authorId="0">
      <text>
        <r>
          <rPr>
            <sz val="8"/>
            <rFont val="Tahoma"/>
            <family val="0"/>
          </rPr>
          <t>колонка МО Мез за счет меропр.в обл.ком.хоз-ва</t>
        </r>
      </text>
    </comment>
    <comment ref="H460" authorId="0">
      <text>
        <r>
          <rPr>
            <sz val="8"/>
            <rFont val="Tahoma"/>
            <family val="0"/>
          </rPr>
          <t>пер в суб МО Мез -73000
мо кам-40000</t>
        </r>
      </text>
    </comment>
    <comment ref="H551" authorId="0">
      <text>
        <r>
          <rPr>
            <sz val="8"/>
            <rFont val="Tahoma"/>
            <family val="0"/>
          </rPr>
          <t>день пож.чел.доп.мест.17165,34
12400 пож.чел.из 0113 и 1003-600 руб</t>
        </r>
      </text>
    </comment>
    <comment ref="H530" authorId="0">
      <text>
        <r>
          <rPr>
            <sz val="8"/>
            <rFont val="Tahoma"/>
            <family val="0"/>
          </rPr>
          <t>пер из 500</t>
        </r>
      </text>
    </comment>
    <comment ref="H483" authorId="0">
      <text>
        <r>
          <rPr>
            <sz val="8"/>
            <rFont val="Tahoma"/>
            <family val="0"/>
          </rPr>
          <t>перенос 278 000 в 018</t>
        </r>
      </text>
    </comment>
    <comment ref="H321" authorId="0">
      <text>
        <r>
          <rPr>
            <sz val="8"/>
            <rFont val="Tahoma"/>
            <family val="0"/>
          </rPr>
          <t xml:space="preserve">перенос в энергоаудит-36234,01
11800 в соц.1003
3653,94-в </t>
        </r>
      </text>
    </comment>
    <comment ref="H485" authorId="0">
      <text>
        <r>
          <rPr>
            <sz val="8"/>
            <rFont val="Tahoma"/>
            <family val="0"/>
          </rPr>
          <t>278000-из 500
36234,01-из 0113
765,99-из 0801 прогр.</t>
        </r>
      </text>
    </comment>
    <comment ref="H566" authorId="0">
      <text>
        <r>
          <rPr>
            <sz val="8"/>
            <rFont val="Tahoma"/>
            <family val="0"/>
          </rPr>
          <t>пер 600 в 1003 день пож чел.
145,99-в марг.ярм
2211 в мол.сем.</t>
        </r>
      </text>
    </comment>
    <comment ref="H370" authorId="0">
      <text>
        <r>
          <rPr>
            <sz val="8"/>
            <rFont val="Tahoma"/>
            <family val="0"/>
          </rPr>
          <t>доп.ищ 1003-145,99
0113-84,01</t>
        </r>
      </text>
    </comment>
    <comment ref="H29" authorId="0">
      <text>
        <r>
          <rPr>
            <sz val="8"/>
            <rFont val="Tahoma"/>
            <family val="0"/>
          </rPr>
          <t>8500 пер.из 0801прогр культ</t>
        </r>
      </text>
    </comment>
    <comment ref="H82" authorId="0">
      <text>
        <r>
          <rPr>
            <sz val="8"/>
            <rFont val="Tahoma"/>
            <family val="0"/>
          </rPr>
          <t>перенос в энергоаудит765,99
8454,01 на марг.ярм.</t>
        </r>
      </text>
    </comment>
    <comment ref="H396" authorId="0">
      <text>
        <r>
          <rPr>
            <sz val="8"/>
            <rFont val="Tahoma"/>
            <family val="2"/>
          </rPr>
          <t>перенос все доп.</t>
        </r>
      </text>
    </comment>
    <comment ref="H104" authorId="0">
      <text>
        <r>
          <rPr>
            <sz val="8"/>
            <rFont val="Tahoma"/>
            <family val="0"/>
          </rPr>
          <t>2211-за счет активиз прог</t>
        </r>
      </text>
    </comment>
    <comment ref="H371" authorId="0">
      <text>
        <r>
          <rPr>
            <sz val="8"/>
            <rFont val="Tahoma"/>
            <family val="0"/>
          </rPr>
          <t>в ок</t>
        </r>
      </text>
    </comment>
  </commentList>
</comments>
</file>

<file path=xl/sharedStrings.xml><?xml version="1.0" encoding="utf-8"?>
<sst xmlns="http://schemas.openxmlformats.org/spreadsheetml/2006/main" count="3021" uniqueCount="498">
  <si>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</si>
  <si>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</si>
  <si>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</si>
  <si>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</si>
  <si>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</si>
  <si>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</si>
  <si>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</si>
  <si>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</si>
  <si>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</si>
  <si>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</si>
  <si>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</si>
  <si>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</si>
  <si>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</si>
  <si>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</si>
  <si>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</si>
  <si>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</si>
  <si>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</si>
  <si>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</si>
  <si>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</si>
  <si>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</si>
  <si>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</si>
  <si>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</si>
  <si>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</si>
  <si>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</si>
  <si>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</si>
  <si>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</si>
  <si>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</si>
  <si>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</si>
  <si>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</si>
  <si>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</si>
  <si>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</si>
  <si>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</si>
  <si>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</si>
  <si>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</si>
  <si>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</si>
  <si>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</si>
  <si>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</si>
  <si>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</si>
  <si>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</si>
  <si>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</si>
  <si>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</si>
  <si>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</si>
  <si>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</si>
  <si>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</si>
  <si>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</si>
  <si>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</si>
  <si>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</si>
  <si>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</si>
  <si>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</si>
  <si>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</si>
  <si>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</si>
  <si>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</si>
  <si>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</si>
  <si>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</si>
  <si>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</si>
  <si>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</si>
  <si>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</si>
  <si>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</si>
  <si>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</si>
  <si>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</si>
  <si>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</si>
  <si>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</si>
  <si>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</si>
  <si>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</si>
  <si>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</si>
  <si>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</si>
  <si>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</si>
  <si>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</si>
  <si>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</si>
  <si>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</si>
  <si>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</si>
  <si>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</si>
  <si>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</si>
  <si>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</si>
  <si>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</si>
  <si>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</si>
  <si>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</si>
  <si>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</si>
  <si>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</si>
  <si>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</si>
  <si>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</si>
  <si>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</si>
  <si>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</si>
  <si>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</si>
  <si>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</si>
  <si>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</si>
  <si>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</si>
  <si>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</si>
  <si>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</si>
  <si>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</si>
  <si>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</si>
  <si>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</si>
  <si>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</si>
  <si>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</si>
  <si>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</si>
  <si>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</si>
  <si>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</si>
  <si>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</si>
  <si>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</si>
  <si>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</si>
  <si>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</si>
  <si>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</si>
  <si>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</si>
  <si>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</si>
  <si>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</si>
  <si>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</si>
  <si>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</si>
  <si>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</si>
  <si>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</si>
  <si>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</si>
  <si>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</si>
  <si>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</si>
  <si>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</si>
  <si>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</si>
  <si>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</si>
  <si>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</si>
  <si>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</si>
  <si>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</si>
  <si>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</si>
  <si>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</si>
  <si>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</si>
  <si>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</si>
  <si>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</si>
  <si>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</si>
  <si>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</si>
  <si>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</si>
  <si>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</si>
  <si>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</si>
  <si>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</si>
  <si>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</si>
  <si>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</si>
  <si>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</si>
  <si>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</si>
  <si>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</si>
  <si>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</si>
  <si>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</si>
  <si>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</si>
  <si>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</si>
  <si>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</si>
  <si>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</si>
  <si>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</si>
  <si>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</si>
  <si>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</si>
  <si>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</si>
  <si>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</si>
  <si>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</si>
  <si>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</si>
  <si>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</si>
  <si>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</si>
  <si>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</si>
  <si>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</si>
  <si>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</si>
  <si>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</si>
  <si>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</si>
  <si>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</si>
  <si>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</si>
  <si>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</si>
  <si>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</si>
  <si>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</si>
  <si>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</si>
  <si>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</si>
  <si>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</si>
  <si>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</si>
  <si>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</si>
  <si>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</si>
  <si>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</si>
  <si>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</si>
  <si>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</si>
  <si>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</si>
  <si>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</si>
  <si>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</si>
  <si>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</si>
  <si>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</si>
  <si>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</si>
  <si>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</si>
  <si>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</si>
  <si>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</si>
  <si>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</si>
  <si>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</si>
  <si>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</si>
  <si>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</si>
  <si>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</si>
  <si>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</si>
  <si>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</si>
  <si>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</si>
  <si>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</si>
  <si>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</si>
  <si>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</si>
  <si>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</si>
  <si>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</si>
  <si>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</si>
  <si>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</si>
  <si>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</si>
  <si>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</si>
  <si>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</si>
  <si>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</si>
  <si>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</si>
  <si>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</si>
  <si>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</si>
  <si>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</si>
  <si>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</si>
  <si>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</si>
  <si>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</si>
  <si>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</si>
  <si>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</si>
  <si>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</si>
  <si>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</si>
  <si>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</si>
  <si>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</si>
  <si>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</si>
  <si>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</si>
  <si>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</si>
  <si>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</si>
  <si>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</si>
  <si>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</si>
  <si>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</si>
  <si>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</si>
  <si>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</si>
  <si>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</si>
  <si>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</si>
  <si>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</si>
  <si>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</si>
  <si>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</si>
  <si>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</si>
  <si>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</si>
  <si>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</si>
  <si>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</si>
  <si>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</si>
  <si>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</si>
  <si>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</si>
  <si>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</si>
  <si>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</si>
  <si>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</si>
  <si>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</si>
  <si>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</si>
  <si>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</si>
  <si>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</si>
  <si>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</si>
  <si>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</si>
  <si>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</si>
  <si>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</si>
  <si>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</si>
  <si>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</si>
  <si>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</si>
  <si>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</si>
  <si>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</si>
  <si>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</si>
  <si>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</si>
  <si>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</si>
  <si>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</si>
  <si>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</si>
  <si>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</si>
  <si>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</si>
  <si>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440 02 00</t>
  </si>
  <si>
    <t>Реализация государственных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</si>
  <si>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</si>
  <si>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</si>
  <si>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</si>
  <si>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</si>
  <si>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</si>
  <si>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</si>
  <si>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</si>
  <si>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</si>
  <si>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Межбюджетные</t>
  </si>
  <si>
    <t>920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</si>
  <si>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</si>
  <si>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</si>
  <si>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</si>
  <si>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</si>
  <si>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</si>
  <si>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</si>
  <si>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</si>
  <si>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</si>
  <si>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Резервный фонд</t>
  </si>
  <si>
    <t>Содержание муниципальных дорог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</si>
  <si>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</si>
  <si>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</si>
  <si>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</si>
  <si>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</si>
  <si>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</si>
  <si>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</si>
  <si>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</si>
  <si>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</si>
  <si>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</si>
  <si>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</si>
  <si>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</si>
  <si>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</si>
  <si>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</si>
  <si>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</si>
  <si>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</si>
  <si>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</si>
  <si>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Осуществление государственных полномочий в сфере административных правонарушений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</si>
  <si>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</si>
  <si>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</si>
  <si>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</si>
  <si>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</si>
  <si>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</si>
  <si>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Районная целевая программа "Наследие Кузина на 2012-2014 годы"</t>
  </si>
  <si>
    <t>Приложение № 6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</si>
  <si>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</si>
  <si>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</si>
  <si>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</si>
  <si>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022</t>
  </si>
  <si>
    <t>Мероприятия в сфере образования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</si>
  <si>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</si>
  <si>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</si>
  <si>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</si>
  <si>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</si>
  <si>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</si>
  <si>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</si>
  <si>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</si>
  <si>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Строительство, реконструкция,капитальный ремонт и содержание автомобильных дорог общего пользования местного значения, включая разработку проектной документации</t>
  </si>
  <si>
    <t>551 01 16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</si>
  <si>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</si>
  <si>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Ревизионная комиссия МО "Мезенский муниципальный район"</t>
  </si>
  <si>
    <t>530</t>
  </si>
  <si>
    <t>Капитальный ремонт  ремонт дворовых территорий многоквартирных домов, проездов к дворовым территориям многоквартирных домов населенных пунктов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</si>
  <si>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</si>
  <si>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</si>
  <si>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</si>
  <si>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</si>
  <si>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</si>
  <si>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</si>
  <si>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Строительство, реконструкция, капитальный ремонт, ремонт и содержние дорог общего пользования местного значения находящихся в собственности муниципального района</t>
  </si>
  <si>
    <t>315 04 00</t>
  </si>
  <si>
    <t>ОТДЕЛ ПО ДЕЛАМ МОЛОДЕЖИ, КУЛЬТУРЕ И ИСКУССТВУ АДМИНИСТРАЦИИ МО "МЕЗЕНСКИЙ РАЙОН"</t>
  </si>
  <si>
    <t>Ведомственная структура расходов бюджета муниципального района на 2013 год</t>
  </si>
  <si>
    <t>520 50 00</t>
  </si>
  <si>
    <t>Реализация основных общеобразовательных программ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</si>
  <si>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</si>
  <si>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</si>
  <si>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</si>
  <si>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представительного органа муниципального района</t>
  </si>
  <si>
    <t>020 00 02</t>
  </si>
  <si>
    <t>Проведение областных соревнований конников на лошадях мезенской породы</t>
  </si>
  <si>
    <t>529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</si>
  <si>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</si>
  <si>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Оздоровление детей</t>
  </si>
  <si>
    <t>432 02 00</t>
  </si>
  <si>
    <t>Оздоровление детей за счет средств областного бюджета</t>
  </si>
  <si>
    <t>432 02 01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</si>
  <si>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</si>
  <si>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551 02 11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</si>
  <si>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</si>
  <si>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</si>
  <si>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</si>
  <si>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</si>
  <si>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 xml:space="preserve">Компенсация расходов на уплату налога на имущество организаций и транспортного налога </t>
  </si>
  <si>
    <t>551 01 19</t>
  </si>
  <si>
    <t>Целевая программа "Развитие туризма МО "Мезенский район" на 2013-2015 годы"</t>
  </si>
  <si>
    <t>Социально-экономическая целевая программа Мезенского  района "Молодежь Мезени на 2012 - 2014 годы"</t>
  </si>
  <si>
    <t>Долгосрочная целевая программа "Развитие сферы культуры муниципального образования "Мезенский район" на 2012-2014 годы"</t>
  </si>
  <si>
    <t>Долгосрочная целевая программа "Развитие строительства и капитальный ремонт объектов на территории Мезенского муниципального района на 2013-2015 годы"</t>
  </si>
  <si>
    <t>Социально-экономическая целевая программа "Развитие общего образования и воспитания в образовательных учреждениях Мезенского района на 2012-2014 годы</t>
  </si>
  <si>
    <t>Муниципальная адресная программа "Проведение капитального ремонта многоквартирных домов на территории МО "Мезенский район на 2011-2013 годы"</t>
  </si>
  <si>
    <t>Целевая программа Мезенского района Архангельской области "Строительство и приобретение жилья в сельской местности на 2012-2014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</si>
  <si>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2009-2014 годы"</t>
  </si>
  <si>
    <t>Социально-экономическая программа "Обеспечение безопасности образовательных учреждений района и создания условий для сохранения здоровья учащихся Мезенского района на 2011-2013 годы"</t>
  </si>
  <si>
    <t>Целевая программа "Развитие малого и среднего предпринимательства на территории МО "Мезенский муниципальный район" на 2013-2015 годы"</t>
  </si>
  <si>
    <t>Обустройство пешеходных ледовых перерправ</t>
  </si>
  <si>
    <t>315 03 51</t>
  </si>
  <si>
    <t>351 05 00</t>
  </si>
  <si>
    <t>Мероприятия в области 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</si>
  <si>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</si>
  <si>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</si>
  <si>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</si>
  <si>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</si>
  <si>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</si>
  <si>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</si>
  <si>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Муниц.программы</t>
  </si>
  <si>
    <t>Распределение бюджетных ассигнований на 2013 год по разделам и подразделам классификации расходов бюджетов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</si>
  <si>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</si>
  <si>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522 35 00</t>
  </si>
  <si>
    <t>522 24 00</t>
  </si>
  <si>
    <t>551 08 00</t>
  </si>
  <si>
    <t>Средства, передаваемые бюджету муниципального района из бюджетов поселений  муниципального района на осуществление полномочий по решению вопросов местного значения в соответствии с заключенными соглашениями</t>
  </si>
  <si>
    <t>Средства, передаваемые бюджету муниципального района из бюджетов поселений на осуществление полномочий по формированию архивных фондов поселений</t>
  </si>
  <si>
    <t>551 08 02</t>
  </si>
  <si>
    <t>Средства, передаваемые бюджету муниципального района из бюджетов поселений на осуществление полномочий по формированию и исполнению бюджета</t>
  </si>
  <si>
    <t>Средства, передаваемые бюджету муниципального района из бюджетов поселений на осуществление полномочий контрольно-счетного органа поселения</t>
  </si>
  <si>
    <t>551 08 01</t>
  </si>
  <si>
    <t>551 08 03</t>
  </si>
  <si>
    <t>551 08 04</t>
  </si>
  <si>
    <t>Средства, передаваемые бюджету муниципального района из бюджетов поселений на осуществление полномочий по ведению бухгалтерского учета и составления на его основе отчетности</t>
  </si>
  <si>
    <t>Изменения (+/-)</t>
  </si>
  <si>
    <t>Утверждено с учетом изменений</t>
  </si>
  <si>
    <t>5</t>
  </si>
  <si>
    <t>6</t>
  </si>
  <si>
    <t>Приложение № 3</t>
  </si>
  <si>
    <t>Утверждено</t>
  </si>
  <si>
    <t>рублей</t>
  </si>
  <si>
    <t>9</t>
  </si>
  <si>
    <t>Приложение № 4</t>
  </si>
  <si>
    <t>"Приложение № 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</si>
  <si>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</si>
  <si>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</si>
  <si>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</si>
  <si>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</si>
  <si>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</si>
  <si>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</si>
  <si>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Создание условий для обеспечения поселений услугами торговли</t>
  </si>
  <si>
    <t>551 01 13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</si>
  <si>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</si>
  <si>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</si>
  <si>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522 32 00</t>
  </si>
  <si>
    <t>Долгосрочная целевая программа Архангельской области "Обеспечение жильем молодых семей на 2012-2015 годы"</t>
  </si>
  <si>
    <t>Программа "Развитие сферы культуры муниципального образования "Мезенский район" на 2012-2014 годы"</t>
  </si>
  <si>
    <t>018</t>
  </si>
  <si>
    <t>Иные субсидии</t>
  </si>
  <si>
    <t>514 51 00</t>
  </si>
  <si>
    <t>Субсидии на содержание контрольно-счетных органов поселений</t>
  </si>
  <si>
    <t>551 01 68</t>
  </si>
  <si>
    <t xml:space="preserve">Иные субсидии 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</si>
  <si>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</si>
  <si>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795 19 00</t>
  </si>
  <si>
    <t>Подпрограмма "Градостроительное планирование"</t>
  </si>
  <si>
    <t>795 05 01</t>
  </si>
  <si>
    <t>Субсидии бюджетам поселений на повышение фондов оплаты труда работников культуры</t>
  </si>
  <si>
    <t>551 01 69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</si>
  <si>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</si>
  <si>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551 01 21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</si>
  <si>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</si>
  <si>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</si>
  <si>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</si>
  <si>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</si>
  <si>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</si>
  <si>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</si>
  <si>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</si>
  <si>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</si>
  <si>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551 01 20</t>
  </si>
  <si>
    <t>Благоустройство</t>
  </si>
  <si>
    <t>Субсидии на проведение мероприятий по благоустройству</t>
  </si>
  <si>
    <t>551 01 56</t>
  </si>
  <si>
    <t>Иные дотации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</si>
  <si>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2013 – 2015 годы"</t>
  </si>
  <si>
    <t>522 04 11</t>
  </si>
  <si>
    <t>Поддержка мер по обеспечению сбалансированности местных бюджетов</t>
  </si>
  <si>
    <t>007</t>
  </si>
  <si>
    <t>Прочие дотации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</si>
  <si>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</si>
  <si>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</si>
  <si>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522 17 00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</si>
  <si>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</si>
  <si>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</si>
  <si>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</si>
  <si>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</si>
  <si>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352 09 00</t>
  </si>
  <si>
    <t>"</t>
  </si>
  <si>
    <t>Федеральная целевая программа "Социальное развитие села до 2013 года"</t>
  </si>
  <si>
    <t>522 87 00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</si>
  <si>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</si>
  <si>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Закупка и доставка  муки и лекарственных средств в районы Крайнего Севера и приравненные к ним местности с ограниченными сроками завоза грузов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</si>
  <si>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</si>
  <si>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</si>
  <si>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</si>
  <si>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</si>
  <si>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Поддержка сельскохозяйственных товаропроизводителей на территории Архангельской области</t>
  </si>
  <si>
    <t>260 51 00</t>
  </si>
  <si>
    <t>260 51 08</t>
  </si>
  <si>
    <t>Массовый спорт</t>
  </si>
  <si>
    <t>Субсидия на проведение ремонтов</t>
  </si>
  <si>
    <t>551 01 57</t>
  </si>
  <si>
    <t>Долгосрочная целевая программа Архангельской области "Спорт Беломорья на 2011-2014 годы"</t>
  </si>
  <si>
    <t>522 67 00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</si>
  <si>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</si>
  <si>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</si>
  <si>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Севера" (2013-2015 годы)"</t>
  </si>
  <si>
    <t>440 30 00</t>
  </si>
  <si>
    <t>Подпрограмма "Жилищное строительство"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</si>
  <si>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</si>
  <si>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522 12 00</t>
  </si>
  <si>
    <t>Возмещение части процентной ставки по долгосрочным, среднесрочным и краткосрочным кредитам, взятым малыми формами хозяйствования (фед.бюджет)</t>
  </si>
  <si>
    <t>260 30 00</t>
  </si>
  <si>
    <t>Возмещение части процентной ставки по долгосрочным, среднесрочным и краткосрочным кредитам, взятым малыми формами хозяйствования (обл.бюджет)</t>
  </si>
  <si>
    <t>551 01 70</t>
  </si>
  <si>
    <t>Субсидия на реалицацию проектов районного конкурса "Родная сторона"</t>
  </si>
  <si>
    <t>5225000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</si>
  <si>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2009-2014 годы</t>
  </si>
  <si>
    <t>795 05 02</t>
  </si>
  <si>
    <t>Долгосрочная целевая программа Архангельской области "Активизация индивидуального жилищного строительства в Архангельской области на 2009-2014 годы"</t>
  </si>
  <si>
    <t>522 50 00</t>
  </si>
  <si>
    <t>Резервные фонды исполнительных органов государственной власти субъектов Российской Федерации</t>
  </si>
  <si>
    <t>070 04 01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</si>
  <si>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корпорации-Фонда содействия реформированию ЖКХ</t>
  </si>
  <si>
    <t>098 01 04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</si>
  <si>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 областного бюджета</t>
  </si>
  <si>
    <t>098 02 04</t>
  </si>
  <si>
    <t>Модернизация региональных систем дошкольного образования</t>
  </si>
  <si>
    <t>436 27 00</t>
  </si>
  <si>
    <t>Субсидии на поддержку коммунального хозяйства</t>
  </si>
  <si>
    <t>551 01 59</t>
  </si>
  <si>
    <t>551 01 64</t>
  </si>
  <si>
    <t>Прочие субсидии</t>
  </si>
  <si>
    <t>Субсидии по предупреждению и ликвидации последствий чрезвычайных ситуаций и стихийных бедствий</t>
  </si>
  <si>
    <t xml:space="preserve">551 01 64 </t>
  </si>
  <si>
    <t>от 13 декабря 2012 г. №  237</t>
  </si>
  <si>
    <t>от 13 декабря 2012 г. № 237</t>
  </si>
  <si>
    <t>от 25 сентября 2013 г. № 11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</si>
</sst>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</numFmts>
  <fonts count="52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 quotePrefix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189" fontId="0" fillId="0" borderId="0" xfId="60" applyNumberFormat="1" applyFont="1" applyAlignment="1">
      <alignment/>
    </xf>
    <xf numFmtId="43" fontId="0" fillId="0" borderId="0" xfId="60" applyFont="1" applyAlignment="1">
      <alignment/>
    </xf>
    <xf numFmtId="43" fontId="0" fillId="0" borderId="0" xfId="60" applyFont="1" applyAlignment="1">
      <alignment/>
    </xf>
    <xf numFmtId="0" fontId="1" fillId="0" borderId="39" xfId="0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179" fontId="0" fillId="0" borderId="0" xfId="0" applyNumberFormat="1" applyFill="1" applyAlignment="1">
      <alignment horizontal="center" vertical="center"/>
    </xf>
    <xf numFmtId="183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left" vertical="center" wrapText="1"/>
    </xf>
    <xf numFmtId="183" fontId="0" fillId="0" borderId="37" xfId="0" applyNumberFormat="1" applyFont="1" applyFill="1" applyBorder="1" applyAlignment="1">
      <alignment horizontal="right" vertical="center"/>
    </xf>
    <xf numFmtId="183" fontId="5" fillId="0" borderId="37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183" fontId="10" fillId="0" borderId="37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183" fontId="0" fillId="0" borderId="0" xfId="0" applyNumberForma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9.125" style="27" customWidth="1"/>
    <col min="5" max="5" width="18.125" style="30" customWidth="1"/>
    <col min="6" max="6" width="19.375" style="30" customWidth="1"/>
    <col min="7" max="16384" width="9.125" style="30" customWidth="1"/>
  </cols>
  <sheetData>
    <row r="1" spans="2:6" ht="12.75">
      <c r="B1" s="67"/>
      <c r="C1" s="67"/>
      <c r="D1" s="83"/>
      <c r="F1" s="83" t="s">
        <v>388</v>
      </c>
    </row>
    <row r="2" spans="2:6" ht="12.75">
      <c r="B2" s="67"/>
      <c r="C2" s="67"/>
      <c r="D2" s="80"/>
      <c r="F2" s="80" t="s">
        <v>167</v>
      </c>
    </row>
    <row r="3" spans="2:6" ht="12.75">
      <c r="B3" s="67"/>
      <c r="C3" s="67"/>
      <c r="D3" s="80"/>
      <c r="F3" s="80" t="s">
        <v>168</v>
      </c>
    </row>
    <row r="4" spans="2:6" ht="12.75">
      <c r="B4" s="67"/>
      <c r="C4" s="67"/>
      <c r="D4" s="83"/>
      <c r="F4" s="83" t="s">
        <v>497</v>
      </c>
    </row>
    <row r="5" spans="2:6" ht="12.75">
      <c r="B5" s="67"/>
      <c r="C5" s="67"/>
      <c r="D5" s="83"/>
      <c r="F5" s="27"/>
    </row>
    <row r="6" spans="2:6" ht="12.75">
      <c r="B6" s="67"/>
      <c r="C6" s="67"/>
      <c r="D6" s="83"/>
      <c r="F6" s="83" t="s">
        <v>298</v>
      </c>
    </row>
    <row r="7" spans="2:6" ht="12.75">
      <c r="B7" s="67"/>
      <c r="C7" s="67"/>
      <c r="D7" s="83"/>
      <c r="F7" s="80" t="s">
        <v>167</v>
      </c>
    </row>
    <row r="8" spans="2:6" ht="12.75">
      <c r="B8" s="67"/>
      <c r="C8" s="67"/>
      <c r="D8" s="83"/>
      <c r="F8" s="80" t="s">
        <v>168</v>
      </c>
    </row>
    <row r="9" spans="2:6" ht="12.75">
      <c r="B9" s="67"/>
      <c r="C9" s="67"/>
      <c r="D9" s="83"/>
      <c r="F9" s="83" t="s">
        <v>495</v>
      </c>
    </row>
    <row r="10" spans="2:4" ht="12.75">
      <c r="B10" s="67"/>
      <c r="C10" s="67"/>
      <c r="D10" s="83"/>
    </row>
    <row r="11" spans="1:6" ht="38.25" customHeight="1">
      <c r="A11" s="149" t="s">
        <v>370</v>
      </c>
      <c r="B11" s="149"/>
      <c r="C11" s="149"/>
      <c r="D11" s="149"/>
      <c r="E11" s="150"/>
      <c r="F11" s="150"/>
    </row>
    <row r="12" spans="4:6" ht="12.75">
      <c r="D12" s="80"/>
      <c r="F12" s="80" t="s">
        <v>390</v>
      </c>
    </row>
    <row r="13" spans="1:6" ht="23.25" customHeight="1">
      <c r="A13" s="69" t="s">
        <v>38</v>
      </c>
      <c r="B13" s="70" t="s">
        <v>39</v>
      </c>
      <c r="C13" s="71" t="s">
        <v>40</v>
      </c>
      <c r="D13" s="105" t="s">
        <v>389</v>
      </c>
      <c r="E13" s="105" t="s">
        <v>384</v>
      </c>
      <c r="F13" s="105" t="s">
        <v>385</v>
      </c>
    </row>
    <row r="14" spans="1:6" ht="10.5" customHeight="1">
      <c r="A14" s="12">
        <v>1</v>
      </c>
      <c r="B14" s="32">
        <v>2</v>
      </c>
      <c r="C14" s="72">
        <v>3</v>
      </c>
      <c r="D14" s="31" t="s">
        <v>177</v>
      </c>
      <c r="E14" s="31" t="s">
        <v>386</v>
      </c>
      <c r="F14" s="31" t="s">
        <v>387</v>
      </c>
    </row>
    <row r="15" spans="1:6" ht="12.75">
      <c r="A15" s="73"/>
      <c r="B15" s="74"/>
      <c r="C15" s="75"/>
      <c r="D15" s="26"/>
      <c r="E15" s="26"/>
      <c r="F15" s="26"/>
    </row>
    <row r="16" spans="1:6" ht="12.75">
      <c r="A16" s="4" t="s">
        <v>90</v>
      </c>
      <c r="B16" s="18" t="s">
        <v>59</v>
      </c>
      <c r="C16" s="1"/>
      <c r="D16" s="109">
        <f>SUM(D17:D23)</f>
        <v>61275484.629999995</v>
      </c>
      <c r="E16" s="109">
        <f>SUM(E17:E23)</f>
        <v>-321838.47000000003</v>
      </c>
      <c r="F16" s="109">
        <f>SUM(F17:F23)</f>
        <v>60953646.16</v>
      </c>
    </row>
    <row r="17" spans="1:6" ht="25.5">
      <c r="A17" s="15" t="s">
        <v>178</v>
      </c>
      <c r="B17" s="1" t="s">
        <v>59</v>
      </c>
      <c r="C17" s="1" t="s">
        <v>55</v>
      </c>
      <c r="D17" s="111">
        <f>+ведомств!G248</f>
        <v>1785452</v>
      </c>
      <c r="E17" s="111">
        <f>+ведомств!H248</f>
        <v>0</v>
      </c>
      <c r="F17" s="111">
        <f>SUM(D17:E17)</f>
        <v>1785452</v>
      </c>
    </row>
    <row r="18" spans="1:6" ht="38.25">
      <c r="A18" s="2" t="s">
        <v>96</v>
      </c>
      <c r="B18" s="1" t="s">
        <v>59</v>
      </c>
      <c r="C18" s="1" t="s">
        <v>41</v>
      </c>
      <c r="D18" s="111">
        <f>+ведомств!G253</f>
        <v>1105607</v>
      </c>
      <c r="E18" s="111">
        <f>+ведомств!H253</f>
        <v>0</v>
      </c>
      <c r="F18" s="111">
        <f aca="true" t="shared" si="0" ref="F18:F23">SUM(D18:E18)</f>
        <v>1105607</v>
      </c>
    </row>
    <row r="19" spans="1:6" ht="38.25">
      <c r="A19" s="15" t="s">
        <v>11</v>
      </c>
      <c r="B19" s="1" t="s">
        <v>59</v>
      </c>
      <c r="C19" s="1" t="s">
        <v>54</v>
      </c>
      <c r="D19" s="111">
        <f>+ведомств!G260+ведомств!I123</f>
        <v>28691419.46</v>
      </c>
      <c r="E19" s="111">
        <f>+ведомств!H260+ведомств!H123</f>
        <v>12578.6</v>
      </c>
      <c r="F19" s="111">
        <f t="shared" si="0"/>
        <v>28703998.060000002</v>
      </c>
    </row>
    <row r="20" spans="1:6" ht="36.75" customHeight="1">
      <c r="A20" s="7" t="s">
        <v>97</v>
      </c>
      <c r="B20" s="1" t="s">
        <v>59</v>
      </c>
      <c r="C20" s="1" t="s">
        <v>17</v>
      </c>
      <c r="D20" s="111">
        <f>+ведомств!G285</f>
        <v>12374024</v>
      </c>
      <c r="E20" s="111">
        <f>+ведомств!H285</f>
        <v>338</v>
      </c>
      <c r="F20" s="111">
        <f t="shared" si="0"/>
        <v>12374362</v>
      </c>
    </row>
    <row r="21" spans="1:6" ht="15" customHeight="1">
      <c r="A21" s="5" t="s">
        <v>329</v>
      </c>
      <c r="B21" s="1" t="s">
        <v>59</v>
      </c>
      <c r="C21" s="1" t="s">
        <v>16</v>
      </c>
      <c r="D21" s="111">
        <f>SUM(ведомств!G303)</f>
        <v>700000</v>
      </c>
      <c r="E21" s="111">
        <f>SUM(ведомств!H303)</f>
        <v>0</v>
      </c>
      <c r="F21" s="111">
        <f t="shared" si="0"/>
        <v>700000</v>
      </c>
    </row>
    <row r="22" spans="1:6" ht="12.75">
      <c r="A22" s="2" t="s">
        <v>72</v>
      </c>
      <c r="B22" s="1" t="s">
        <v>59</v>
      </c>
      <c r="C22" s="1" t="s">
        <v>58</v>
      </c>
      <c r="D22" s="111">
        <f>+ведомств!G309</f>
        <v>100000</v>
      </c>
      <c r="E22" s="111">
        <f>+ведомств!H309</f>
        <v>0</v>
      </c>
      <c r="F22" s="111">
        <f t="shared" si="0"/>
        <v>100000</v>
      </c>
    </row>
    <row r="23" spans="1:6" ht="12.75">
      <c r="A23" s="2" t="s">
        <v>12</v>
      </c>
      <c r="B23" s="1" t="s">
        <v>59</v>
      </c>
      <c r="C23" s="1" t="s">
        <v>188</v>
      </c>
      <c r="D23" s="111">
        <f>+ведомств!G314+ведомств!G20</f>
        <v>16518982.169999998</v>
      </c>
      <c r="E23" s="111">
        <f>+ведомств!H314+ведомств!H20</f>
        <v>-334755.07</v>
      </c>
      <c r="F23" s="111">
        <f t="shared" si="0"/>
        <v>16184227.099999998</v>
      </c>
    </row>
    <row r="24" spans="1:6" ht="12.75">
      <c r="A24" s="76"/>
      <c r="B24" s="49"/>
      <c r="C24" s="49"/>
      <c r="D24" s="111"/>
      <c r="E24" s="111"/>
      <c r="F24" s="111"/>
    </row>
    <row r="25" spans="1:6" ht="12.75">
      <c r="A25" s="6" t="s">
        <v>207</v>
      </c>
      <c r="B25" s="18" t="s">
        <v>55</v>
      </c>
      <c r="C25" s="1"/>
      <c r="D25" s="109">
        <f>+D26</f>
        <v>1224300</v>
      </c>
      <c r="E25" s="109">
        <f>+E26</f>
        <v>0</v>
      </c>
      <c r="F25" s="109">
        <f>+F26</f>
        <v>1224300</v>
      </c>
    </row>
    <row r="26" spans="1:6" ht="12.75">
      <c r="A26" s="5" t="s">
        <v>208</v>
      </c>
      <c r="B26" s="1" t="s">
        <v>55</v>
      </c>
      <c r="C26" s="1" t="s">
        <v>41</v>
      </c>
      <c r="D26" s="111">
        <f>+ведомств!G345</f>
        <v>1224300</v>
      </c>
      <c r="E26" s="111">
        <f>+ведомств!H345</f>
        <v>0</v>
      </c>
      <c r="F26" s="111">
        <f>SUM(D26:E26)</f>
        <v>1224300</v>
      </c>
    </row>
    <row r="27" spans="1:6" ht="12.75">
      <c r="A27" s="76"/>
      <c r="B27" s="49"/>
      <c r="C27" s="49"/>
      <c r="D27" s="111"/>
      <c r="E27" s="111"/>
      <c r="F27" s="111"/>
    </row>
    <row r="28" spans="1:6" ht="12.75" customHeight="1">
      <c r="A28" s="6" t="s">
        <v>82</v>
      </c>
      <c r="B28" s="18" t="s">
        <v>41</v>
      </c>
      <c r="C28" s="1"/>
      <c r="D28" s="109">
        <f>SUM(D29:D30)</f>
        <v>150000</v>
      </c>
      <c r="E28" s="109">
        <f>SUM(E29:E30)</f>
        <v>0</v>
      </c>
      <c r="F28" s="109">
        <f>SUM(F29:F30)</f>
        <v>150000</v>
      </c>
    </row>
    <row r="29" spans="1:6" ht="34.5" customHeight="1">
      <c r="A29" s="7" t="s">
        <v>179</v>
      </c>
      <c r="B29" s="1" t="s">
        <v>41</v>
      </c>
      <c r="C29" s="1" t="s">
        <v>52</v>
      </c>
      <c r="D29" s="111">
        <f>+ведомств!G351</f>
        <v>50000</v>
      </c>
      <c r="E29" s="111">
        <f>+ведомств!H351</f>
        <v>0</v>
      </c>
      <c r="F29" s="111">
        <f>SUM(D29:E29)</f>
        <v>50000</v>
      </c>
    </row>
    <row r="30" spans="1:6" ht="12.75">
      <c r="A30" s="16" t="s">
        <v>123</v>
      </c>
      <c r="B30" s="1" t="s">
        <v>41</v>
      </c>
      <c r="C30" s="1" t="s">
        <v>88</v>
      </c>
      <c r="D30" s="111">
        <f>+ведомств!G360</f>
        <v>100000</v>
      </c>
      <c r="E30" s="111">
        <f>+ведомств!H360</f>
        <v>0</v>
      </c>
      <c r="F30" s="111">
        <f>SUM(D30:E30)</f>
        <v>100000</v>
      </c>
    </row>
    <row r="31" spans="1:6" ht="12.75">
      <c r="A31" s="76"/>
      <c r="B31" s="49"/>
      <c r="C31" s="49"/>
      <c r="D31" s="111"/>
      <c r="E31" s="111"/>
      <c r="F31" s="111"/>
    </row>
    <row r="32" spans="1:6" ht="12.75">
      <c r="A32" s="4" t="s">
        <v>53</v>
      </c>
      <c r="B32" s="77" t="s">
        <v>54</v>
      </c>
      <c r="C32" s="3"/>
      <c r="D32" s="109">
        <f>SUM(D33:D36)</f>
        <v>23626027.36</v>
      </c>
      <c r="E32" s="109">
        <f>SUM(E33:E36)</f>
        <v>-341270</v>
      </c>
      <c r="F32" s="109">
        <f>SUM(F33:F36)</f>
        <v>23284757.36</v>
      </c>
    </row>
    <row r="33" spans="1:6" ht="12.75">
      <c r="A33" s="2" t="s">
        <v>126</v>
      </c>
      <c r="B33" s="1" t="s">
        <v>54</v>
      </c>
      <c r="C33" s="1" t="s">
        <v>57</v>
      </c>
      <c r="D33" s="111">
        <f>+ведомств!G367+ведомств!G26</f>
        <v>699462.35</v>
      </c>
      <c r="E33" s="111">
        <f>+ведомств!H367+ведомств!H26</f>
        <v>8730</v>
      </c>
      <c r="F33" s="111">
        <f>SUM(D33:E33)</f>
        <v>708192.35</v>
      </c>
    </row>
    <row r="34" spans="1:6" ht="12.75">
      <c r="A34" s="2" t="s">
        <v>74</v>
      </c>
      <c r="B34" s="1" t="s">
        <v>54</v>
      </c>
      <c r="C34" s="1" t="s">
        <v>84</v>
      </c>
      <c r="D34" s="111">
        <f>+ведомств!G381</f>
        <v>10026000</v>
      </c>
      <c r="E34" s="111">
        <f>+ведомств!H381</f>
        <v>-350000</v>
      </c>
      <c r="F34" s="111">
        <f>SUM(D34:E34)</f>
        <v>9676000</v>
      </c>
    </row>
    <row r="35" spans="1:6" ht="12.75">
      <c r="A35" s="2" t="s">
        <v>257</v>
      </c>
      <c r="B35" s="1" t="s">
        <v>54</v>
      </c>
      <c r="C35" s="1" t="s">
        <v>52</v>
      </c>
      <c r="D35" s="111">
        <f>+ведомств!G399</f>
        <v>10126305</v>
      </c>
      <c r="E35" s="111">
        <f>+ведомств!H399</f>
        <v>0</v>
      </c>
      <c r="F35" s="111">
        <f>SUM(D35:E35)</f>
        <v>10126305</v>
      </c>
    </row>
    <row r="36" spans="1:6" ht="12.75">
      <c r="A36" s="2" t="s">
        <v>127</v>
      </c>
      <c r="B36" s="1" t="s">
        <v>54</v>
      </c>
      <c r="C36" s="1" t="s">
        <v>89</v>
      </c>
      <c r="D36" s="111">
        <f>SUM(ведомств!G419)</f>
        <v>2774260.01</v>
      </c>
      <c r="E36" s="111">
        <f>SUM(ведомств!H419)</f>
        <v>0</v>
      </c>
      <c r="F36" s="111">
        <f>SUM(D36:E36)</f>
        <v>2774260.01</v>
      </c>
    </row>
    <row r="37" spans="1:6" ht="12.75">
      <c r="A37" s="76"/>
      <c r="B37" s="49"/>
      <c r="C37" s="49"/>
      <c r="D37" s="111"/>
      <c r="E37" s="111"/>
      <c r="F37" s="111"/>
    </row>
    <row r="38" spans="1:6" ht="12.75">
      <c r="A38" s="82" t="s">
        <v>184</v>
      </c>
      <c r="B38" s="77" t="s">
        <v>57</v>
      </c>
      <c r="C38" s="49"/>
      <c r="D38" s="109">
        <f>SUM(D39:D41)</f>
        <v>22866835.37</v>
      </c>
      <c r="E38" s="109">
        <f>SUM(E39:E41)</f>
        <v>74253903.83</v>
      </c>
      <c r="F38" s="109">
        <f>SUM(F39:F41)</f>
        <v>97120739.2</v>
      </c>
    </row>
    <row r="39" spans="1:6" ht="12.75">
      <c r="A39" s="76" t="s">
        <v>266</v>
      </c>
      <c r="B39" s="1" t="s">
        <v>57</v>
      </c>
      <c r="C39" s="1" t="s">
        <v>59</v>
      </c>
      <c r="D39" s="111">
        <f>+ведомств!G446</f>
        <v>0</v>
      </c>
      <c r="E39" s="111">
        <f>+ведомств!H446</f>
        <v>73057903.83</v>
      </c>
      <c r="F39" s="111">
        <f>SUM(D39:E39)</f>
        <v>73057903.83</v>
      </c>
    </row>
    <row r="40" spans="1:6" ht="12.75">
      <c r="A40" s="76" t="s">
        <v>185</v>
      </c>
      <c r="B40" s="1" t="s">
        <v>57</v>
      </c>
      <c r="C40" s="1" t="s">
        <v>55</v>
      </c>
      <c r="D40" s="111">
        <f>+ведомств!G458</f>
        <v>22826835.37</v>
      </c>
      <c r="E40" s="111">
        <f>+ведомств!H458</f>
        <v>1112000</v>
      </c>
      <c r="F40" s="111">
        <f>SUM(D40:E40)</f>
        <v>23938835.37</v>
      </c>
    </row>
    <row r="41" spans="1:6" ht="12.75">
      <c r="A41" s="76" t="s">
        <v>430</v>
      </c>
      <c r="B41" s="1" t="s">
        <v>57</v>
      </c>
      <c r="C41" s="1" t="s">
        <v>41</v>
      </c>
      <c r="D41" s="111">
        <f>ведомств!G487</f>
        <v>40000</v>
      </c>
      <c r="E41" s="111">
        <f>ведомств!H487</f>
        <v>84000</v>
      </c>
      <c r="F41" s="111">
        <f>SUM(D41:E41)</f>
        <v>124000</v>
      </c>
    </row>
    <row r="42" spans="1:6" ht="12.75">
      <c r="A42" s="76"/>
      <c r="B42" s="1"/>
      <c r="C42" s="1"/>
      <c r="D42" s="111"/>
      <c r="E42" s="111"/>
      <c r="F42" s="111"/>
    </row>
    <row r="43" spans="1:6" ht="12.75">
      <c r="A43" s="4" t="s">
        <v>363</v>
      </c>
      <c r="B43" s="18" t="s">
        <v>17</v>
      </c>
      <c r="C43" s="1"/>
      <c r="D43" s="109">
        <f>SUM(ведомств!G493)</f>
        <v>50000</v>
      </c>
      <c r="E43" s="109">
        <f>SUM(ведомств!H493)</f>
        <v>0</v>
      </c>
      <c r="F43" s="109">
        <f>SUM(ведомств!I493)</f>
        <v>50000</v>
      </c>
    </row>
    <row r="44" spans="1:6" ht="25.5">
      <c r="A44" s="2" t="s">
        <v>364</v>
      </c>
      <c r="B44" s="1" t="s">
        <v>17</v>
      </c>
      <c r="C44" s="1" t="s">
        <v>41</v>
      </c>
      <c r="D44" s="111">
        <f>SUM(ведомств!G494)</f>
        <v>50000</v>
      </c>
      <c r="E44" s="111">
        <f>SUM(ведомств!H494)</f>
        <v>0</v>
      </c>
      <c r="F44" s="111">
        <f>SUM(D44:E44)</f>
        <v>50000</v>
      </c>
    </row>
    <row r="45" spans="1:6" ht="12.75">
      <c r="A45" s="76"/>
      <c r="B45" s="1"/>
      <c r="C45" s="1"/>
      <c r="D45" s="111"/>
      <c r="E45" s="111"/>
      <c r="F45" s="111"/>
    </row>
    <row r="46" spans="1:6" ht="12.75">
      <c r="A46" s="4" t="s">
        <v>77</v>
      </c>
      <c r="B46" s="19" t="s">
        <v>16</v>
      </c>
      <c r="C46" s="1"/>
      <c r="D46" s="109">
        <f>SUM(D47:D50)</f>
        <v>343103088.96000004</v>
      </c>
      <c r="E46" s="109">
        <f>SUM(E47:E50)</f>
        <v>2645560.289999999</v>
      </c>
      <c r="F46" s="109">
        <f>SUM(F47:F50)</f>
        <v>345748649.25000006</v>
      </c>
    </row>
    <row r="47" spans="1:6" ht="12.75">
      <c r="A47" s="78" t="s">
        <v>32</v>
      </c>
      <c r="B47" s="79" t="s">
        <v>16</v>
      </c>
      <c r="C47" s="79" t="s">
        <v>59</v>
      </c>
      <c r="D47" s="111">
        <f>SUM(ведомств!G128+ведомств!G500)</f>
        <v>48286668.1</v>
      </c>
      <c r="E47" s="111">
        <f>SUM(ведомств!H128+ведомств!H500)</f>
        <v>415374.9999999999</v>
      </c>
      <c r="F47" s="111">
        <f>SUM(D47:E47)</f>
        <v>48702043.1</v>
      </c>
    </row>
    <row r="48" spans="1:6" ht="12.75">
      <c r="A48" s="2" t="s">
        <v>78</v>
      </c>
      <c r="B48" s="1" t="s">
        <v>16</v>
      </c>
      <c r="C48" s="1" t="s">
        <v>55</v>
      </c>
      <c r="D48" s="111">
        <f>+ведомств!G148+ведомств!G33+ведомств!G511</f>
        <v>280565153.86</v>
      </c>
      <c r="E48" s="111">
        <f>+ведомств!H148+ведомств!H33+ведомств!H511</f>
        <v>2060185.289999999</v>
      </c>
      <c r="F48" s="111">
        <f>SUM(D48:E48)</f>
        <v>282625339.15000004</v>
      </c>
    </row>
    <row r="49" spans="1:6" ht="12.75">
      <c r="A49" s="2" t="s">
        <v>102</v>
      </c>
      <c r="B49" s="1" t="s">
        <v>16</v>
      </c>
      <c r="C49" s="1" t="s">
        <v>16</v>
      </c>
      <c r="D49" s="111">
        <f>+ведомств!G50+ведомств!G189</f>
        <v>3946162</v>
      </c>
      <c r="E49" s="111">
        <f>+ведомств!H50+ведомств!H189</f>
        <v>0</v>
      </c>
      <c r="F49" s="111">
        <f>SUM(D49:E49)</f>
        <v>3946162</v>
      </c>
    </row>
    <row r="50" spans="1:6" ht="12.75">
      <c r="A50" s="2" t="s">
        <v>108</v>
      </c>
      <c r="B50" s="1" t="s">
        <v>16</v>
      </c>
      <c r="C50" s="1" t="s">
        <v>52</v>
      </c>
      <c r="D50" s="111">
        <f>+ведомств!G206</f>
        <v>10305105</v>
      </c>
      <c r="E50" s="111">
        <f>+ведомств!H206</f>
        <v>170000</v>
      </c>
      <c r="F50" s="111">
        <f>SUM(D50:E50)</f>
        <v>10475105</v>
      </c>
    </row>
    <row r="51" spans="1:6" ht="12.75">
      <c r="A51" s="76"/>
      <c r="B51" s="49"/>
      <c r="C51" s="49"/>
      <c r="D51" s="111"/>
      <c r="E51" s="111"/>
      <c r="F51" s="111"/>
    </row>
    <row r="52" spans="1:6" ht="13.5" customHeight="1">
      <c r="A52" s="4" t="s">
        <v>204</v>
      </c>
      <c r="B52" s="19" t="s">
        <v>84</v>
      </c>
      <c r="C52" s="1"/>
      <c r="D52" s="109">
        <f>SUM(D53:D54)</f>
        <v>38782468.809999995</v>
      </c>
      <c r="E52" s="109">
        <f>SUM(E53:E54)</f>
        <v>636527.25</v>
      </c>
      <c r="F52" s="109">
        <f>SUM(F53:F54)</f>
        <v>39418996.059999995</v>
      </c>
    </row>
    <row r="53" spans="1:6" ht="12.75">
      <c r="A53" s="2" t="s">
        <v>85</v>
      </c>
      <c r="B53" s="1" t="s">
        <v>84</v>
      </c>
      <c r="C53" s="1" t="s">
        <v>59</v>
      </c>
      <c r="D53" s="111">
        <f>+ведомств!G56+ведомств!G522</f>
        <v>34293584.19</v>
      </c>
      <c r="E53" s="111">
        <f>+ведомств!H56+ведомств!H522</f>
        <v>671132.25</v>
      </c>
      <c r="F53" s="111">
        <f>SUM(D53:E53)</f>
        <v>34964716.44</v>
      </c>
    </row>
    <row r="54" spans="1:6" ht="12.75">
      <c r="A54" s="2" t="s">
        <v>211</v>
      </c>
      <c r="B54" s="1" t="s">
        <v>84</v>
      </c>
      <c r="C54" s="1" t="s">
        <v>54</v>
      </c>
      <c r="D54" s="111">
        <f>+ведомств!G85</f>
        <v>4488884.62</v>
      </c>
      <c r="E54" s="111">
        <f>+ведомств!H85</f>
        <v>-34605</v>
      </c>
      <c r="F54" s="111">
        <f>SUM(D54:E54)</f>
        <v>4454279.62</v>
      </c>
    </row>
    <row r="55" spans="1:6" ht="12.75">
      <c r="A55" s="76"/>
      <c r="B55" s="49"/>
      <c r="C55" s="49"/>
      <c r="D55" s="111"/>
      <c r="E55" s="111"/>
      <c r="F55" s="111"/>
    </row>
    <row r="56" spans="1:6" ht="12.75">
      <c r="A56" s="4" t="s">
        <v>22</v>
      </c>
      <c r="B56" s="19" t="s">
        <v>88</v>
      </c>
      <c r="C56" s="1"/>
      <c r="D56" s="109">
        <f>SUM(D57:D60)</f>
        <v>25282178.34</v>
      </c>
      <c r="E56" s="109">
        <f>SUM(E57:E60)</f>
        <v>488819.35</v>
      </c>
      <c r="F56" s="109">
        <f>SUM(F57:F60)</f>
        <v>25770997.689999998</v>
      </c>
    </row>
    <row r="57" spans="1:6" ht="12.75">
      <c r="A57" s="2" t="s">
        <v>23</v>
      </c>
      <c r="B57" s="1" t="s">
        <v>88</v>
      </c>
      <c r="C57" s="1" t="s">
        <v>59</v>
      </c>
      <c r="D57" s="111">
        <f>+ведомств!G539</f>
        <v>2700000</v>
      </c>
      <c r="E57" s="111">
        <f>+ведомств!H539</f>
        <v>0</v>
      </c>
      <c r="F57" s="111">
        <f>SUM(D57:E57)</f>
        <v>2700000</v>
      </c>
    </row>
    <row r="58" spans="1:6" ht="12.75">
      <c r="A58" s="2" t="s">
        <v>27</v>
      </c>
      <c r="B58" s="1" t="s">
        <v>88</v>
      </c>
      <c r="C58" s="1" t="s">
        <v>41</v>
      </c>
      <c r="D58" s="111">
        <f>+ведомств!G91+ведомств!G544</f>
        <v>7380478.34</v>
      </c>
      <c r="E58" s="111">
        <f>+ведомств!H91+ведомств!H544</f>
        <v>488819.35</v>
      </c>
      <c r="F58" s="111">
        <f>SUM(D58:E58)</f>
        <v>7869297.6899999995</v>
      </c>
    </row>
    <row r="59" spans="1:6" ht="12.75">
      <c r="A59" s="7" t="s">
        <v>64</v>
      </c>
      <c r="B59" s="1" t="s">
        <v>88</v>
      </c>
      <c r="C59" s="1" t="s">
        <v>54</v>
      </c>
      <c r="D59" s="111">
        <f>+ведомств!G216+ведомств!G568</f>
        <v>12365000</v>
      </c>
      <c r="E59" s="111">
        <f>+ведомств!H216+ведомств!H568</f>
        <v>0</v>
      </c>
      <c r="F59" s="111">
        <f>SUM(D59:E59)</f>
        <v>12365000</v>
      </c>
    </row>
    <row r="60" spans="1:6" ht="12.75">
      <c r="A60" s="7" t="s">
        <v>256</v>
      </c>
      <c r="B60" s="1" t="s">
        <v>88</v>
      </c>
      <c r="C60" s="1" t="s">
        <v>17</v>
      </c>
      <c r="D60" s="111">
        <f>+ведомств!G226+ведомств!G580</f>
        <v>2836700</v>
      </c>
      <c r="E60" s="111">
        <f>+ведомств!H226+ведомств!H580</f>
        <v>0</v>
      </c>
      <c r="F60" s="111">
        <f>SUM(D60:E60)</f>
        <v>2836700</v>
      </c>
    </row>
    <row r="61" spans="1:6" ht="12.75">
      <c r="A61" s="76"/>
      <c r="B61" s="49"/>
      <c r="C61" s="49"/>
      <c r="D61" s="111"/>
      <c r="E61" s="111"/>
      <c r="F61" s="111"/>
    </row>
    <row r="62" spans="1:6" ht="12.75">
      <c r="A62" s="4" t="s">
        <v>18</v>
      </c>
      <c r="B62" s="19" t="s">
        <v>58</v>
      </c>
      <c r="C62" s="1"/>
      <c r="D62" s="109">
        <f>SUM(D63:D64)</f>
        <v>2048200</v>
      </c>
      <c r="E62" s="109">
        <f>SUM(E63:E64)</f>
        <v>86000</v>
      </c>
      <c r="F62" s="109">
        <f>SUM(F63:F64)</f>
        <v>2134200</v>
      </c>
    </row>
    <row r="63" spans="1:6" ht="12.75">
      <c r="A63" s="7" t="s">
        <v>191</v>
      </c>
      <c r="B63" s="1" t="s">
        <v>58</v>
      </c>
      <c r="C63" s="1" t="s">
        <v>59</v>
      </c>
      <c r="D63" s="111">
        <f>SUM(ведомств!G107+ведомств!G236)</f>
        <v>1204200</v>
      </c>
      <c r="E63" s="111">
        <f>SUM(ведомств!H107+ведомств!H236)</f>
        <v>0</v>
      </c>
      <c r="F63" s="111">
        <f>SUM(D63:E63)</f>
        <v>1204200</v>
      </c>
    </row>
    <row r="64" spans="1:6" ht="12.75">
      <c r="A64" s="81" t="s">
        <v>459</v>
      </c>
      <c r="B64" s="47" t="s">
        <v>58</v>
      </c>
      <c r="C64" s="47" t="s">
        <v>55</v>
      </c>
      <c r="D64" s="116">
        <f>SUM(ведомств!G241)</f>
        <v>844000</v>
      </c>
      <c r="E64" s="116">
        <f>SUM(ведомств!H241)</f>
        <v>86000</v>
      </c>
      <c r="F64" s="111">
        <f>SUM(D64:E64)</f>
        <v>930000</v>
      </c>
    </row>
    <row r="65" spans="1:6" ht="12.75">
      <c r="A65" s="81"/>
      <c r="B65" s="47"/>
      <c r="C65" s="47"/>
      <c r="D65" s="116"/>
      <c r="E65" s="116"/>
      <c r="F65" s="116"/>
    </row>
    <row r="66" spans="1:6" ht="12.75">
      <c r="A66" s="4" t="s">
        <v>229</v>
      </c>
      <c r="B66" s="19" t="s">
        <v>89</v>
      </c>
      <c r="C66" s="1"/>
      <c r="D66" s="109">
        <f>SUM(D67)</f>
        <v>297600</v>
      </c>
      <c r="E66" s="109">
        <f>SUM(E67)</f>
        <v>0</v>
      </c>
      <c r="F66" s="109">
        <f>SUM(F67)</f>
        <v>297600</v>
      </c>
    </row>
    <row r="67" spans="1:6" ht="12.75">
      <c r="A67" s="81" t="s">
        <v>230</v>
      </c>
      <c r="B67" s="47" t="s">
        <v>89</v>
      </c>
      <c r="C67" s="47" t="s">
        <v>59</v>
      </c>
      <c r="D67" s="116">
        <f>+ведомств!G116</f>
        <v>297600</v>
      </c>
      <c r="E67" s="116">
        <f>+ведомств!H116</f>
        <v>0</v>
      </c>
      <c r="F67" s="111">
        <f>SUM(D67:E67)</f>
        <v>297600</v>
      </c>
    </row>
    <row r="68" spans="1:6" ht="12.75">
      <c r="A68" s="81"/>
      <c r="B68" s="47"/>
      <c r="C68" s="47"/>
      <c r="D68" s="116"/>
      <c r="E68" s="116"/>
      <c r="F68" s="116"/>
    </row>
    <row r="69" spans="1:6" ht="12.75">
      <c r="A69" s="4" t="s">
        <v>69</v>
      </c>
      <c r="B69" s="19" t="s">
        <v>188</v>
      </c>
      <c r="C69" s="1"/>
      <c r="D69" s="109">
        <f>SUM(D70)</f>
        <v>700000</v>
      </c>
      <c r="E69" s="109">
        <f>SUM(E70)</f>
        <v>0</v>
      </c>
      <c r="F69" s="109">
        <f>SUM(F70)</f>
        <v>700000</v>
      </c>
    </row>
    <row r="70" spans="1:6" ht="25.5">
      <c r="A70" s="81" t="s">
        <v>189</v>
      </c>
      <c r="B70" s="47" t="s">
        <v>188</v>
      </c>
      <c r="C70" s="47" t="s">
        <v>59</v>
      </c>
      <c r="D70" s="116">
        <f>+ведомств!G587</f>
        <v>700000</v>
      </c>
      <c r="E70" s="116">
        <f>+ведомств!H587</f>
        <v>0</v>
      </c>
      <c r="F70" s="111">
        <f>SUM(D70:E70)</f>
        <v>700000</v>
      </c>
    </row>
    <row r="71" spans="1:6" ht="12.75">
      <c r="A71" s="81"/>
      <c r="B71" s="47"/>
      <c r="C71" s="47"/>
      <c r="D71" s="116"/>
      <c r="E71" s="116"/>
      <c r="F71" s="116"/>
    </row>
    <row r="72" spans="1:6" ht="38.25">
      <c r="A72" s="4" t="s">
        <v>192</v>
      </c>
      <c r="B72" s="19" t="s">
        <v>86</v>
      </c>
      <c r="C72" s="1"/>
      <c r="D72" s="109">
        <f>SUM(D73:D75)</f>
        <v>43318993</v>
      </c>
      <c r="E72" s="109">
        <f>SUM(E73:E75)</f>
        <v>124024.83</v>
      </c>
      <c r="F72" s="109">
        <f>SUM(F73:F75)</f>
        <v>43443017.83</v>
      </c>
    </row>
    <row r="73" spans="1:6" ht="34.5" customHeight="1">
      <c r="A73" s="81" t="s">
        <v>193</v>
      </c>
      <c r="B73" s="47" t="s">
        <v>86</v>
      </c>
      <c r="C73" s="47" t="s">
        <v>59</v>
      </c>
      <c r="D73" s="116">
        <f>+ведомств!G593</f>
        <v>5934200</v>
      </c>
      <c r="E73" s="116">
        <f>+ведомств!H593</f>
        <v>0</v>
      </c>
      <c r="F73" s="111">
        <f>SUM(D73:E73)</f>
        <v>5934200</v>
      </c>
    </row>
    <row r="74" spans="1:6" ht="16.5" customHeight="1">
      <c r="A74" s="81" t="s">
        <v>433</v>
      </c>
      <c r="B74" s="47" t="s">
        <v>86</v>
      </c>
      <c r="C74" s="47" t="s">
        <v>55</v>
      </c>
      <c r="D74" s="116">
        <f>ведомств!G603</f>
        <v>1516600</v>
      </c>
      <c r="E74" s="116">
        <f>ведомств!H603</f>
        <v>0</v>
      </c>
      <c r="F74" s="111">
        <f>SUM(D74:E74)</f>
        <v>1516600</v>
      </c>
    </row>
    <row r="75" spans="1:6" ht="12.75">
      <c r="A75" s="81" t="s">
        <v>268</v>
      </c>
      <c r="B75" s="47" t="s">
        <v>86</v>
      </c>
      <c r="C75" s="47" t="s">
        <v>41</v>
      </c>
      <c r="D75" s="116">
        <f>+ведомств!G609</f>
        <v>35868193</v>
      </c>
      <c r="E75" s="116">
        <f>+ведомств!H609</f>
        <v>124024.83</v>
      </c>
      <c r="F75" s="111">
        <f>SUM(D75:E75)</f>
        <v>35992217.83</v>
      </c>
    </row>
    <row r="76" spans="1:6" ht="12.75">
      <c r="A76" s="46"/>
      <c r="B76" s="47"/>
      <c r="C76" s="47"/>
      <c r="D76" s="116"/>
      <c r="E76" s="116"/>
      <c r="F76" s="116"/>
    </row>
    <row r="77" spans="1:6" ht="15">
      <c r="A77" s="90" t="s">
        <v>180</v>
      </c>
      <c r="B77" s="91"/>
      <c r="C77" s="92"/>
      <c r="D77" s="112">
        <f>+D16+D25+D28+D32+D43+D38+D46+D52+D56+D62+D66+D69+D72</f>
        <v>562725176.47</v>
      </c>
      <c r="E77" s="112">
        <f>+E16+E25+E28+E32+E43+E38+E46+E52+E56+E62+E66+E69+E72</f>
        <v>77571727.08</v>
      </c>
      <c r="F77" s="112">
        <f>+F16+F25+F28+F32+F43+F38+F46+F52+F56+F62+F66+F69+F72</f>
        <v>640296903.5500001</v>
      </c>
    </row>
  </sheetData>
  <sheetProtection/>
  <mergeCells count="1">
    <mergeCell ref="A11:F11"/>
  </mergeCells>
  <printOptions/>
  <pageMargins left="0.5905511811023623" right="0.3937007874015748" top="0.5905511811023623" bottom="0.5905511811023623" header="0.5118110236220472" footer="0.3937007874015748"/>
  <pageSetup fitToHeight="2"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5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8.125" style="0" customWidth="1"/>
    <col min="9" max="9" width="18.00390625" style="0" customWidth="1"/>
    <col min="10" max="10" width="1.75390625" style="0" customWidth="1"/>
    <col min="11" max="11" width="15.625" style="0" bestFit="1" customWidth="1"/>
    <col min="12" max="12" width="15.25390625" style="0" customWidth="1"/>
    <col min="13" max="13" width="14.625" style="0" customWidth="1"/>
  </cols>
  <sheetData>
    <row r="1" spans="7:10" ht="12.75">
      <c r="G1" s="83"/>
      <c r="I1" s="83" t="s">
        <v>392</v>
      </c>
      <c r="J1" s="83"/>
    </row>
    <row r="2" spans="7:10" ht="12.75">
      <c r="G2" s="80"/>
      <c r="I2" s="80" t="s">
        <v>167</v>
      </c>
      <c r="J2" s="80"/>
    </row>
    <row r="3" spans="7:10" ht="12.75">
      <c r="G3" s="80"/>
      <c r="I3" s="80" t="s">
        <v>168</v>
      </c>
      <c r="J3" s="80"/>
    </row>
    <row r="4" spans="7:10" ht="12.75">
      <c r="G4" s="83"/>
      <c r="I4" s="83" t="s">
        <v>497</v>
      </c>
      <c r="J4" s="83"/>
    </row>
    <row r="5" spans="7:10" ht="12.75">
      <c r="G5" s="83"/>
      <c r="I5" s="27"/>
      <c r="J5" s="27"/>
    </row>
    <row r="6" spans="7:10" ht="12.75">
      <c r="G6" s="83"/>
      <c r="I6" s="83" t="s">
        <v>393</v>
      </c>
      <c r="J6" s="83"/>
    </row>
    <row r="7" spans="7:10" ht="12.75">
      <c r="G7" s="83"/>
      <c r="I7" s="80" t="s">
        <v>167</v>
      </c>
      <c r="J7" s="80"/>
    </row>
    <row r="8" spans="7:10" ht="12.75">
      <c r="G8" s="83"/>
      <c r="I8" s="80" t="s">
        <v>168</v>
      </c>
      <c r="J8" s="80"/>
    </row>
    <row r="9" spans="7:10" ht="12.75">
      <c r="G9" s="83"/>
      <c r="I9" s="83" t="s">
        <v>496</v>
      </c>
      <c r="J9" s="83"/>
    </row>
    <row r="10" ht="12.75">
      <c r="G10" s="83"/>
    </row>
    <row r="11" ht="11.25" customHeight="1"/>
    <row r="12" spans="1:7" ht="16.5" customHeight="1">
      <c r="A12" s="151" t="s">
        <v>326</v>
      </c>
      <c r="B12" s="151"/>
      <c r="C12" s="151"/>
      <c r="D12" s="151"/>
      <c r="E12" s="151"/>
      <c r="F12" s="151"/>
      <c r="G12" s="151"/>
    </row>
    <row r="13" spans="1:7" ht="16.5" customHeight="1">
      <c r="A13" s="101"/>
      <c r="B13" s="100"/>
      <c r="C13" s="100"/>
      <c r="D13" s="100"/>
      <c r="E13" s="100"/>
      <c r="F13" s="100"/>
      <c r="G13" s="100"/>
    </row>
    <row r="14" spans="9:10" ht="12.75">
      <c r="I14" s="120" t="s">
        <v>390</v>
      </c>
      <c r="J14" s="120"/>
    </row>
    <row r="15" spans="1:13" ht="38.25">
      <c r="A15" s="9" t="s">
        <v>38</v>
      </c>
      <c r="B15" s="50" t="s">
        <v>162</v>
      </c>
      <c r="C15" s="10" t="s">
        <v>39</v>
      </c>
      <c r="D15" s="10" t="s">
        <v>40</v>
      </c>
      <c r="E15" s="10" t="s">
        <v>37</v>
      </c>
      <c r="F15" s="11" t="s">
        <v>187</v>
      </c>
      <c r="G15" s="105" t="s">
        <v>389</v>
      </c>
      <c r="H15" s="105" t="s">
        <v>384</v>
      </c>
      <c r="I15" s="105" t="s">
        <v>385</v>
      </c>
      <c r="J15" s="121"/>
      <c r="K15" s="121"/>
      <c r="L15" s="121"/>
      <c r="M15" s="121"/>
    </row>
    <row r="16" spans="1:10" ht="12.75">
      <c r="A16" s="12">
        <v>1</v>
      </c>
      <c r="B16" s="32">
        <v>2</v>
      </c>
      <c r="C16" s="32">
        <v>3</v>
      </c>
      <c r="D16" s="32">
        <v>4</v>
      </c>
      <c r="E16" s="32">
        <v>5</v>
      </c>
      <c r="F16" s="31" t="s">
        <v>135</v>
      </c>
      <c r="G16" s="31" t="s">
        <v>163</v>
      </c>
      <c r="H16" s="31" t="s">
        <v>391</v>
      </c>
      <c r="I16" s="31" t="s">
        <v>88</v>
      </c>
      <c r="J16" s="130"/>
    </row>
    <row r="17" spans="1:10" ht="12.75">
      <c r="A17" s="24"/>
      <c r="B17" s="51"/>
      <c r="C17" s="25"/>
      <c r="D17" s="25"/>
      <c r="E17" s="25"/>
      <c r="F17" s="25"/>
      <c r="G17" s="26"/>
      <c r="H17" s="26"/>
      <c r="I17" s="26"/>
      <c r="J17" s="131"/>
    </row>
    <row r="18" spans="1:10" ht="35.25" customHeight="1">
      <c r="A18" s="62" t="s">
        <v>325</v>
      </c>
      <c r="B18" s="59" t="s">
        <v>166</v>
      </c>
      <c r="C18" s="57"/>
      <c r="D18" s="57"/>
      <c r="E18" s="57"/>
      <c r="F18" s="56"/>
      <c r="G18" s="114">
        <f>SUM(G32+G55+G106+G90+G115+G25+G19)</f>
        <v>34572217.81</v>
      </c>
      <c r="H18" s="114">
        <f>SUM(H32+H55+H106+H90+H115+H25+H19)</f>
        <v>1772275.25</v>
      </c>
      <c r="I18" s="114">
        <f aca="true" t="shared" si="0" ref="I18:I23">SUM(G18:H18)</f>
        <v>36344493.06</v>
      </c>
      <c r="J18" s="132"/>
    </row>
    <row r="19" spans="1:10" ht="15.75">
      <c r="A19" s="34" t="s">
        <v>90</v>
      </c>
      <c r="B19" s="41" t="s">
        <v>166</v>
      </c>
      <c r="C19" s="41" t="s">
        <v>59</v>
      </c>
      <c r="D19" s="42"/>
      <c r="E19" s="42"/>
      <c r="F19" s="43"/>
      <c r="G19" s="108">
        <f>+G20</f>
        <v>50000</v>
      </c>
      <c r="H19" s="108">
        <f>+H20</f>
        <v>0</v>
      </c>
      <c r="I19" s="108">
        <f t="shared" si="0"/>
        <v>50000</v>
      </c>
      <c r="J19" s="133"/>
    </row>
    <row r="20" spans="1:10" ht="12.75">
      <c r="A20" s="4" t="s">
        <v>12</v>
      </c>
      <c r="B20" s="18" t="s">
        <v>166</v>
      </c>
      <c r="C20" s="19" t="s">
        <v>59</v>
      </c>
      <c r="D20" s="19" t="s">
        <v>188</v>
      </c>
      <c r="E20" s="1"/>
      <c r="F20" s="17"/>
      <c r="G20" s="109">
        <f>+G21</f>
        <v>50000</v>
      </c>
      <c r="H20" s="109">
        <f>+H21</f>
        <v>0</v>
      </c>
      <c r="I20" s="109">
        <f t="shared" si="0"/>
        <v>50000</v>
      </c>
      <c r="J20" s="134"/>
    </row>
    <row r="21" spans="1:10" ht="12.75">
      <c r="A21" s="2" t="s">
        <v>147</v>
      </c>
      <c r="B21" s="87" t="s">
        <v>166</v>
      </c>
      <c r="C21" s="1" t="s">
        <v>59</v>
      </c>
      <c r="D21" s="1" t="s">
        <v>188</v>
      </c>
      <c r="E21" s="1" t="s">
        <v>148</v>
      </c>
      <c r="F21" s="17"/>
      <c r="G21" s="110">
        <f>SUM(G22)</f>
        <v>50000</v>
      </c>
      <c r="H21" s="110">
        <f>SUM(H22)</f>
        <v>0</v>
      </c>
      <c r="I21" s="110">
        <f t="shared" si="0"/>
        <v>50000</v>
      </c>
      <c r="J21" s="135"/>
    </row>
    <row r="22" spans="1:10" ht="24" customHeight="1">
      <c r="A22" s="2" t="s">
        <v>349</v>
      </c>
      <c r="B22" s="87" t="s">
        <v>166</v>
      </c>
      <c r="C22" s="1" t="s">
        <v>59</v>
      </c>
      <c r="D22" s="1" t="s">
        <v>188</v>
      </c>
      <c r="E22" s="1" t="s">
        <v>279</v>
      </c>
      <c r="F22" s="17"/>
      <c r="G22" s="110">
        <f>G23</f>
        <v>50000</v>
      </c>
      <c r="H22" s="110">
        <f>H23</f>
        <v>0</v>
      </c>
      <c r="I22" s="110">
        <f t="shared" si="0"/>
        <v>50000</v>
      </c>
      <c r="J22" s="135"/>
    </row>
    <row r="23" spans="1:10" ht="12.75" customHeight="1">
      <c r="A23" s="15" t="s">
        <v>134</v>
      </c>
      <c r="B23" s="87" t="s">
        <v>166</v>
      </c>
      <c r="C23" s="1" t="s">
        <v>59</v>
      </c>
      <c r="D23" s="1" t="s">
        <v>188</v>
      </c>
      <c r="E23" s="1" t="s">
        <v>279</v>
      </c>
      <c r="F23" s="17" t="s">
        <v>133</v>
      </c>
      <c r="G23" s="110">
        <v>50000</v>
      </c>
      <c r="H23" s="110"/>
      <c r="I23" s="110">
        <f t="shared" si="0"/>
        <v>50000</v>
      </c>
      <c r="J23" s="135"/>
    </row>
    <row r="24" spans="1:10" ht="12.75" customHeight="1">
      <c r="A24" s="2"/>
      <c r="B24" s="87"/>
      <c r="C24" s="1"/>
      <c r="D24" s="1"/>
      <c r="E24" s="1"/>
      <c r="F24" s="17"/>
      <c r="G24" s="110"/>
      <c r="H24" s="110"/>
      <c r="I24" s="110"/>
      <c r="J24" s="135"/>
    </row>
    <row r="25" spans="1:10" ht="15.75">
      <c r="A25" s="34" t="s">
        <v>53</v>
      </c>
      <c r="B25" s="41" t="s">
        <v>166</v>
      </c>
      <c r="C25" s="41" t="s">
        <v>54</v>
      </c>
      <c r="D25" s="42"/>
      <c r="E25" s="42"/>
      <c r="F25" s="43"/>
      <c r="G25" s="108">
        <f aca="true" t="shared" si="1" ref="G25:H27">+G26</f>
        <v>55000</v>
      </c>
      <c r="H25" s="108">
        <f t="shared" si="1"/>
        <v>-5500</v>
      </c>
      <c r="I25" s="108">
        <f aca="true" t="shared" si="2" ref="I25:I30">SUM(G25:H25)</f>
        <v>49500</v>
      </c>
      <c r="J25" s="133"/>
    </row>
    <row r="26" spans="1:10" ht="12.75">
      <c r="A26" s="4" t="s">
        <v>126</v>
      </c>
      <c r="B26" s="18" t="s">
        <v>166</v>
      </c>
      <c r="C26" s="19" t="s">
        <v>54</v>
      </c>
      <c r="D26" s="19" t="s">
        <v>57</v>
      </c>
      <c r="E26" s="1"/>
      <c r="F26" s="17"/>
      <c r="G26" s="109">
        <f t="shared" si="1"/>
        <v>55000</v>
      </c>
      <c r="H26" s="109">
        <f t="shared" si="1"/>
        <v>-5500</v>
      </c>
      <c r="I26" s="109">
        <f t="shared" si="2"/>
        <v>49500</v>
      </c>
      <c r="J26" s="134"/>
    </row>
    <row r="27" spans="1:10" ht="12.75">
      <c r="A27" s="2" t="s">
        <v>6</v>
      </c>
      <c r="B27" s="87" t="s">
        <v>166</v>
      </c>
      <c r="C27" s="1" t="s">
        <v>54</v>
      </c>
      <c r="D27" s="1" t="s">
        <v>57</v>
      </c>
      <c r="E27" s="1" t="s">
        <v>7</v>
      </c>
      <c r="F27" s="17"/>
      <c r="G27" s="110">
        <f t="shared" si="1"/>
        <v>55000</v>
      </c>
      <c r="H27" s="110">
        <f t="shared" si="1"/>
        <v>-5500</v>
      </c>
      <c r="I27" s="110">
        <f t="shared" si="2"/>
        <v>49500</v>
      </c>
      <c r="J27" s="135"/>
    </row>
    <row r="28" spans="1:10" ht="12.75" customHeight="1">
      <c r="A28" s="2" t="s">
        <v>8</v>
      </c>
      <c r="B28" s="87" t="s">
        <v>166</v>
      </c>
      <c r="C28" s="1" t="s">
        <v>54</v>
      </c>
      <c r="D28" s="1" t="s">
        <v>57</v>
      </c>
      <c r="E28" s="1" t="s">
        <v>9</v>
      </c>
      <c r="F28" s="17"/>
      <c r="G28" s="110">
        <f>SUM(G29:G30)</f>
        <v>55000</v>
      </c>
      <c r="H28" s="110">
        <f>SUM(H29:H30)</f>
        <v>-5500</v>
      </c>
      <c r="I28" s="110">
        <f t="shared" si="2"/>
        <v>49500</v>
      </c>
      <c r="J28" s="135"/>
    </row>
    <row r="29" spans="1:10" ht="15.75" customHeight="1">
      <c r="A29" s="2" t="s">
        <v>250</v>
      </c>
      <c r="B29" s="87" t="s">
        <v>166</v>
      </c>
      <c r="C29" s="1" t="s">
        <v>54</v>
      </c>
      <c r="D29" s="1" t="s">
        <v>57</v>
      </c>
      <c r="E29" s="1" t="s">
        <v>9</v>
      </c>
      <c r="F29" s="17" t="s">
        <v>249</v>
      </c>
      <c r="G29" s="110">
        <v>35000</v>
      </c>
      <c r="H29" s="110">
        <v>8500</v>
      </c>
      <c r="I29" s="110">
        <f t="shared" si="2"/>
        <v>43500</v>
      </c>
      <c r="J29" s="135"/>
    </row>
    <row r="30" spans="1:10" ht="15" customHeight="1">
      <c r="A30" s="2" t="s">
        <v>251</v>
      </c>
      <c r="B30" s="87" t="s">
        <v>166</v>
      </c>
      <c r="C30" s="1" t="s">
        <v>54</v>
      </c>
      <c r="D30" s="1" t="s">
        <v>57</v>
      </c>
      <c r="E30" s="1" t="s">
        <v>9</v>
      </c>
      <c r="F30" s="17" t="s">
        <v>252</v>
      </c>
      <c r="G30" s="110">
        <v>20000</v>
      </c>
      <c r="H30" s="110">
        <v>-14000</v>
      </c>
      <c r="I30" s="110">
        <f t="shared" si="2"/>
        <v>6000</v>
      </c>
      <c r="J30" s="135"/>
    </row>
    <row r="31" spans="1:10" ht="12.75">
      <c r="A31" s="2"/>
      <c r="B31" s="87"/>
      <c r="C31" s="1"/>
      <c r="D31" s="1"/>
      <c r="E31" s="1"/>
      <c r="F31" s="17"/>
      <c r="G31" s="110"/>
      <c r="H31" s="110"/>
      <c r="I31" s="110"/>
      <c r="J31" s="135"/>
    </row>
    <row r="32" spans="1:10" ht="15.75">
      <c r="A32" s="34" t="s">
        <v>77</v>
      </c>
      <c r="B32" s="41" t="s">
        <v>166</v>
      </c>
      <c r="C32" s="41" t="s">
        <v>16</v>
      </c>
      <c r="D32" s="42"/>
      <c r="E32" s="42"/>
      <c r="F32" s="43"/>
      <c r="G32" s="108">
        <f>G33+G50</f>
        <v>7525162</v>
      </c>
      <c r="H32" s="108">
        <f>H33+H50</f>
        <v>16537</v>
      </c>
      <c r="I32" s="108">
        <f aca="true" t="shared" si="3" ref="I32:I48">SUM(G32:H32)</f>
        <v>7541699</v>
      </c>
      <c r="J32" s="133"/>
    </row>
    <row r="33" spans="1:10" ht="12.75">
      <c r="A33" s="4" t="s">
        <v>78</v>
      </c>
      <c r="B33" s="18" t="s">
        <v>166</v>
      </c>
      <c r="C33" s="19" t="s">
        <v>16</v>
      </c>
      <c r="D33" s="19" t="s">
        <v>55</v>
      </c>
      <c r="E33" s="1"/>
      <c r="F33" s="17"/>
      <c r="G33" s="109">
        <f>SUM(G34+G38+G40+G46)</f>
        <v>7425162</v>
      </c>
      <c r="H33" s="109">
        <f>SUM(H34+H38+H40+H46)</f>
        <v>16537</v>
      </c>
      <c r="I33" s="109">
        <f t="shared" si="3"/>
        <v>7441699</v>
      </c>
      <c r="J33" s="134"/>
    </row>
    <row r="34" spans="1:10" ht="12.75">
      <c r="A34" s="2" t="s">
        <v>79</v>
      </c>
      <c r="B34" s="1" t="s">
        <v>166</v>
      </c>
      <c r="C34" s="1" t="s">
        <v>16</v>
      </c>
      <c r="D34" s="1" t="s">
        <v>55</v>
      </c>
      <c r="E34" s="1" t="s">
        <v>80</v>
      </c>
      <c r="F34" s="17"/>
      <c r="G34" s="111">
        <f>G35</f>
        <v>5937662</v>
      </c>
      <c r="H34" s="111">
        <f>H35</f>
        <v>1537</v>
      </c>
      <c r="I34" s="111">
        <f t="shared" si="3"/>
        <v>5939199</v>
      </c>
      <c r="J34" s="136"/>
    </row>
    <row r="35" spans="1:10" ht="12.75" customHeight="1">
      <c r="A35" s="2" t="s">
        <v>68</v>
      </c>
      <c r="B35" s="1" t="s">
        <v>166</v>
      </c>
      <c r="C35" s="1" t="s">
        <v>16</v>
      </c>
      <c r="D35" s="1" t="s">
        <v>55</v>
      </c>
      <c r="E35" s="1" t="s">
        <v>81</v>
      </c>
      <c r="F35" s="17"/>
      <c r="G35" s="111">
        <f>SUM(G36:G37)</f>
        <v>5937662</v>
      </c>
      <c r="H35" s="111">
        <f>SUM(H36:H37)</f>
        <v>1537</v>
      </c>
      <c r="I35" s="111">
        <f t="shared" si="3"/>
        <v>5939199</v>
      </c>
      <c r="J35" s="136"/>
    </row>
    <row r="36" spans="1:12" ht="38.25">
      <c r="A36" s="7" t="s">
        <v>280</v>
      </c>
      <c r="B36" s="1" t="s">
        <v>166</v>
      </c>
      <c r="C36" s="1" t="s">
        <v>16</v>
      </c>
      <c r="D36" s="1" t="s">
        <v>55</v>
      </c>
      <c r="E36" s="1" t="s">
        <v>81</v>
      </c>
      <c r="F36" s="17" t="s">
        <v>281</v>
      </c>
      <c r="G36" s="111">
        <v>5887662</v>
      </c>
      <c r="H36" s="111">
        <v>1537</v>
      </c>
      <c r="I36" s="111">
        <f t="shared" si="3"/>
        <v>5889199</v>
      </c>
      <c r="J36" s="136"/>
      <c r="L36" s="122"/>
    </row>
    <row r="37" spans="1:10" ht="12.75">
      <c r="A37" s="7" t="s">
        <v>283</v>
      </c>
      <c r="B37" s="1" t="s">
        <v>166</v>
      </c>
      <c r="C37" s="1" t="s">
        <v>16</v>
      </c>
      <c r="D37" s="1" t="s">
        <v>55</v>
      </c>
      <c r="E37" s="1" t="s">
        <v>81</v>
      </c>
      <c r="F37" s="17" t="s">
        <v>282</v>
      </c>
      <c r="G37" s="111">
        <v>50000</v>
      </c>
      <c r="H37" s="111"/>
      <c r="I37" s="111">
        <f t="shared" si="3"/>
        <v>50000</v>
      </c>
      <c r="J37" s="136"/>
    </row>
    <row r="38" spans="1:10" ht="38.25">
      <c r="A38" s="7" t="s">
        <v>466</v>
      </c>
      <c r="B38" s="1" t="s">
        <v>166</v>
      </c>
      <c r="C38" s="1" t="s">
        <v>16</v>
      </c>
      <c r="D38" s="1" t="s">
        <v>55</v>
      </c>
      <c r="E38" s="1" t="s">
        <v>467</v>
      </c>
      <c r="F38" s="17"/>
      <c r="G38" s="111">
        <f>G39</f>
        <v>600000</v>
      </c>
      <c r="H38" s="111">
        <f>H39</f>
        <v>0</v>
      </c>
      <c r="I38" s="111">
        <f t="shared" si="3"/>
        <v>600000</v>
      </c>
      <c r="J38" s="136"/>
    </row>
    <row r="39" spans="1:10" ht="12.75">
      <c r="A39" s="7" t="s">
        <v>283</v>
      </c>
      <c r="B39" s="1" t="s">
        <v>166</v>
      </c>
      <c r="C39" s="1" t="s">
        <v>16</v>
      </c>
      <c r="D39" s="1" t="s">
        <v>55</v>
      </c>
      <c r="E39" s="1" t="s">
        <v>467</v>
      </c>
      <c r="F39" s="17" t="s">
        <v>282</v>
      </c>
      <c r="G39" s="111">
        <v>600000</v>
      </c>
      <c r="H39" s="111"/>
      <c r="I39" s="111">
        <f t="shared" si="3"/>
        <v>600000</v>
      </c>
      <c r="J39" s="136"/>
    </row>
    <row r="40" spans="1:10" ht="12.75">
      <c r="A40" s="7" t="s">
        <v>421</v>
      </c>
      <c r="B40" s="61" t="s">
        <v>166</v>
      </c>
      <c r="C40" s="1" t="s">
        <v>16</v>
      </c>
      <c r="D40" s="1" t="s">
        <v>55</v>
      </c>
      <c r="E40" s="1" t="s">
        <v>42</v>
      </c>
      <c r="F40" s="17"/>
      <c r="G40" s="111">
        <f>G41+G44</f>
        <v>277500</v>
      </c>
      <c r="H40" s="111">
        <f>H41+H44</f>
        <v>15000</v>
      </c>
      <c r="I40" s="111">
        <f t="shared" si="3"/>
        <v>292500</v>
      </c>
      <c r="J40" s="136"/>
    </row>
    <row r="41" spans="1:10" ht="40.5" customHeight="1">
      <c r="A41" s="7" t="s">
        <v>101</v>
      </c>
      <c r="B41" s="61" t="s">
        <v>166</v>
      </c>
      <c r="C41" s="1" t="s">
        <v>16</v>
      </c>
      <c r="D41" s="1" t="s">
        <v>55</v>
      </c>
      <c r="E41" s="1" t="s">
        <v>43</v>
      </c>
      <c r="F41" s="17"/>
      <c r="G41" s="111">
        <f>G42</f>
        <v>99000</v>
      </c>
      <c r="H41" s="111">
        <f>H42</f>
        <v>15000</v>
      </c>
      <c r="I41" s="111">
        <f t="shared" si="3"/>
        <v>114000</v>
      </c>
      <c r="J41" s="136"/>
    </row>
    <row r="42" spans="1:10" ht="63.75">
      <c r="A42" s="129" t="s">
        <v>422</v>
      </c>
      <c r="B42" s="61" t="s">
        <v>166</v>
      </c>
      <c r="C42" s="1" t="s">
        <v>16</v>
      </c>
      <c r="D42" s="1" t="s">
        <v>55</v>
      </c>
      <c r="E42" s="1" t="s">
        <v>423</v>
      </c>
      <c r="F42" s="17"/>
      <c r="G42" s="111">
        <f>G43</f>
        <v>99000</v>
      </c>
      <c r="H42" s="111">
        <f>H43</f>
        <v>15000</v>
      </c>
      <c r="I42" s="111">
        <f t="shared" si="3"/>
        <v>114000</v>
      </c>
      <c r="J42" s="136"/>
    </row>
    <row r="43" spans="1:13" ht="12.75">
      <c r="A43" s="7" t="s">
        <v>283</v>
      </c>
      <c r="B43" s="61" t="s">
        <v>166</v>
      </c>
      <c r="C43" s="1" t="s">
        <v>16</v>
      </c>
      <c r="D43" s="1" t="s">
        <v>55</v>
      </c>
      <c r="E43" s="1" t="s">
        <v>423</v>
      </c>
      <c r="F43" s="17" t="s">
        <v>282</v>
      </c>
      <c r="G43" s="111">
        <v>99000</v>
      </c>
      <c r="H43" s="111">
        <v>15000</v>
      </c>
      <c r="I43" s="111">
        <f t="shared" si="3"/>
        <v>114000</v>
      </c>
      <c r="J43" s="136"/>
      <c r="M43" s="122"/>
    </row>
    <row r="44" spans="1:13" ht="63.75">
      <c r="A44" s="2" t="s">
        <v>428</v>
      </c>
      <c r="B44" s="1" t="s">
        <v>166</v>
      </c>
      <c r="C44" s="1" t="s">
        <v>16</v>
      </c>
      <c r="D44" s="1" t="s">
        <v>55</v>
      </c>
      <c r="E44" s="3" t="s">
        <v>429</v>
      </c>
      <c r="F44" s="17"/>
      <c r="G44" s="111">
        <f>G45</f>
        <v>178500</v>
      </c>
      <c r="H44" s="111">
        <f>H45</f>
        <v>0</v>
      </c>
      <c r="I44" s="111">
        <f t="shared" si="3"/>
        <v>178500</v>
      </c>
      <c r="J44" s="136"/>
      <c r="M44" s="122"/>
    </row>
    <row r="45" spans="1:13" ht="38.25">
      <c r="A45" s="7" t="s">
        <v>280</v>
      </c>
      <c r="B45" s="1" t="s">
        <v>166</v>
      </c>
      <c r="C45" s="1" t="s">
        <v>16</v>
      </c>
      <c r="D45" s="1" t="s">
        <v>55</v>
      </c>
      <c r="E45" s="3" t="s">
        <v>429</v>
      </c>
      <c r="F45" s="17" t="s">
        <v>281</v>
      </c>
      <c r="G45" s="111">
        <v>178500</v>
      </c>
      <c r="H45" s="111"/>
      <c r="I45" s="111">
        <f t="shared" si="3"/>
        <v>178500</v>
      </c>
      <c r="J45" s="136"/>
      <c r="M45" s="122"/>
    </row>
    <row r="46" spans="1:13" ht="12.75">
      <c r="A46" s="2" t="s">
        <v>147</v>
      </c>
      <c r="B46" s="1" t="s">
        <v>166</v>
      </c>
      <c r="C46" s="1" t="s">
        <v>16</v>
      </c>
      <c r="D46" s="1" t="s">
        <v>55</v>
      </c>
      <c r="E46" s="1" t="s">
        <v>148</v>
      </c>
      <c r="F46" s="17"/>
      <c r="G46" s="111">
        <f>G47</f>
        <v>610000</v>
      </c>
      <c r="H46" s="111">
        <f>H47</f>
        <v>0</v>
      </c>
      <c r="I46" s="111">
        <f t="shared" si="3"/>
        <v>610000</v>
      </c>
      <c r="J46" s="136"/>
      <c r="M46" s="122"/>
    </row>
    <row r="47" spans="1:13" ht="38.25">
      <c r="A47" s="2" t="s">
        <v>351</v>
      </c>
      <c r="B47" s="1" t="s">
        <v>166</v>
      </c>
      <c r="C47" s="1" t="s">
        <v>16</v>
      </c>
      <c r="D47" s="1" t="s">
        <v>55</v>
      </c>
      <c r="E47" s="1" t="s">
        <v>284</v>
      </c>
      <c r="F47" s="17"/>
      <c r="G47" s="111">
        <f>G48</f>
        <v>610000</v>
      </c>
      <c r="H47" s="111">
        <f>H48</f>
        <v>0</v>
      </c>
      <c r="I47" s="111">
        <f t="shared" si="3"/>
        <v>610000</v>
      </c>
      <c r="J47" s="136"/>
      <c r="M47" s="122"/>
    </row>
    <row r="48" spans="1:13" ht="12.75">
      <c r="A48" s="7" t="s">
        <v>283</v>
      </c>
      <c r="B48" s="1" t="s">
        <v>166</v>
      </c>
      <c r="C48" s="1" t="s">
        <v>16</v>
      </c>
      <c r="D48" s="1" t="s">
        <v>55</v>
      </c>
      <c r="E48" s="1" t="s">
        <v>284</v>
      </c>
      <c r="F48" s="17" t="s">
        <v>282</v>
      </c>
      <c r="G48" s="111">
        <v>610000</v>
      </c>
      <c r="H48" s="111"/>
      <c r="I48" s="111">
        <f t="shared" si="3"/>
        <v>610000</v>
      </c>
      <c r="J48" s="136"/>
      <c r="M48" s="122"/>
    </row>
    <row r="49" spans="1:10" ht="12.75">
      <c r="A49" s="7"/>
      <c r="B49" s="61"/>
      <c r="C49" s="1"/>
      <c r="D49" s="1"/>
      <c r="E49" s="1"/>
      <c r="F49" s="17"/>
      <c r="G49" s="111"/>
      <c r="H49" s="111"/>
      <c r="I49" s="111"/>
      <c r="J49" s="136"/>
    </row>
    <row r="50" spans="1:10" ht="12.75">
      <c r="A50" s="4" t="s">
        <v>102</v>
      </c>
      <c r="B50" s="18" t="s">
        <v>166</v>
      </c>
      <c r="C50" s="18" t="s">
        <v>16</v>
      </c>
      <c r="D50" s="18" t="s">
        <v>16</v>
      </c>
      <c r="E50" s="18"/>
      <c r="F50" s="17"/>
      <c r="G50" s="109">
        <f aca="true" t="shared" si="4" ref="G50:H52">G51</f>
        <v>100000</v>
      </c>
      <c r="H50" s="109">
        <f t="shared" si="4"/>
        <v>0</v>
      </c>
      <c r="I50" s="109">
        <f>SUM(G50:H50)</f>
        <v>100000</v>
      </c>
      <c r="J50" s="134"/>
    </row>
    <row r="51" spans="1:10" ht="12.75">
      <c r="A51" s="7" t="s">
        <v>147</v>
      </c>
      <c r="B51" s="1" t="s">
        <v>166</v>
      </c>
      <c r="C51" s="1" t="s">
        <v>16</v>
      </c>
      <c r="D51" s="1" t="s">
        <v>16</v>
      </c>
      <c r="E51" s="1" t="s">
        <v>148</v>
      </c>
      <c r="F51" s="17"/>
      <c r="G51" s="111">
        <f t="shared" si="4"/>
        <v>100000</v>
      </c>
      <c r="H51" s="111">
        <f t="shared" si="4"/>
        <v>0</v>
      </c>
      <c r="I51" s="111">
        <f>SUM(G51:H51)</f>
        <v>100000</v>
      </c>
      <c r="J51" s="136"/>
    </row>
    <row r="52" spans="1:10" ht="25.5">
      <c r="A52" s="2" t="s">
        <v>350</v>
      </c>
      <c r="B52" s="1" t="s">
        <v>166</v>
      </c>
      <c r="C52" s="1" t="s">
        <v>16</v>
      </c>
      <c r="D52" s="1" t="s">
        <v>16</v>
      </c>
      <c r="E52" s="1" t="s">
        <v>221</v>
      </c>
      <c r="F52" s="17"/>
      <c r="G52" s="111">
        <f t="shared" si="4"/>
        <v>100000</v>
      </c>
      <c r="H52" s="111">
        <f t="shared" si="4"/>
        <v>0</v>
      </c>
      <c r="I52" s="111">
        <f>SUM(G52:H52)</f>
        <v>100000</v>
      </c>
      <c r="J52" s="136"/>
    </row>
    <row r="53" spans="1:10" ht="12.75">
      <c r="A53" s="2" t="s">
        <v>105</v>
      </c>
      <c r="B53" s="1" t="s">
        <v>166</v>
      </c>
      <c r="C53" s="1" t="s">
        <v>16</v>
      </c>
      <c r="D53" s="1" t="s">
        <v>16</v>
      </c>
      <c r="E53" s="1" t="s">
        <v>221</v>
      </c>
      <c r="F53" s="17" t="s">
        <v>146</v>
      </c>
      <c r="G53" s="111">
        <v>100000</v>
      </c>
      <c r="H53" s="111"/>
      <c r="I53" s="111">
        <f>SUM(G53:H53)</f>
        <v>100000</v>
      </c>
      <c r="J53" s="136"/>
    </row>
    <row r="54" spans="1:10" ht="12.75">
      <c r="A54" s="2"/>
      <c r="B54" s="61"/>
      <c r="C54" s="1"/>
      <c r="D54" s="1"/>
      <c r="E54" s="1"/>
      <c r="F54" s="17"/>
      <c r="G54" s="111"/>
      <c r="H54" s="111"/>
      <c r="I54" s="111"/>
      <c r="J54" s="136"/>
    </row>
    <row r="55" spans="1:10" ht="15.75">
      <c r="A55" s="34" t="s">
        <v>204</v>
      </c>
      <c r="B55" s="35" t="s">
        <v>166</v>
      </c>
      <c r="C55" s="41" t="s">
        <v>84</v>
      </c>
      <c r="D55" s="41"/>
      <c r="E55" s="41"/>
      <c r="F55" s="44"/>
      <c r="G55" s="108">
        <f>G56+G85</f>
        <v>24635676.810000002</v>
      </c>
      <c r="H55" s="108">
        <f>H56+H85</f>
        <v>1759027.25</v>
      </c>
      <c r="I55" s="108">
        <f aca="true" t="shared" si="5" ref="I55:I83">SUM(G55:H55)</f>
        <v>26394704.060000002</v>
      </c>
      <c r="J55" s="133"/>
    </row>
    <row r="56" spans="1:10" ht="12.75">
      <c r="A56" s="4" t="s">
        <v>85</v>
      </c>
      <c r="B56" s="18" t="s">
        <v>166</v>
      </c>
      <c r="C56" s="19" t="s">
        <v>84</v>
      </c>
      <c r="D56" s="19" t="s">
        <v>59</v>
      </c>
      <c r="E56" s="19"/>
      <c r="F56" s="37"/>
      <c r="G56" s="109">
        <f>SUM(G57+G66+G72+G80+G76)</f>
        <v>20146792.19</v>
      </c>
      <c r="H56" s="109">
        <f>SUM(H57+H66+H72+H80+H76)</f>
        <v>1793632.25</v>
      </c>
      <c r="I56" s="109">
        <f t="shared" si="5"/>
        <v>21940424.44</v>
      </c>
      <c r="J56" s="134"/>
    </row>
    <row r="57" spans="1:10" ht="25.5">
      <c r="A57" s="2" t="s">
        <v>14</v>
      </c>
      <c r="B57" s="1" t="s">
        <v>166</v>
      </c>
      <c r="C57" s="1" t="s">
        <v>84</v>
      </c>
      <c r="D57" s="1" t="s">
        <v>59</v>
      </c>
      <c r="E57" s="1" t="s">
        <v>15</v>
      </c>
      <c r="F57" s="17"/>
      <c r="G57" s="111">
        <f>G63+G60+G58</f>
        <v>7395597.48</v>
      </c>
      <c r="H57" s="111">
        <f>H63+H60+H58</f>
        <v>588059.25</v>
      </c>
      <c r="I57" s="111">
        <f t="shared" si="5"/>
        <v>7983656.73</v>
      </c>
      <c r="J57" s="136"/>
    </row>
    <row r="58" spans="1:10" ht="38.25">
      <c r="A58" s="2" t="s">
        <v>201</v>
      </c>
      <c r="B58" s="1" t="s">
        <v>166</v>
      </c>
      <c r="C58" s="1" t="s">
        <v>84</v>
      </c>
      <c r="D58" s="1" t="s">
        <v>59</v>
      </c>
      <c r="E58" s="1" t="s">
        <v>253</v>
      </c>
      <c r="F58" s="17"/>
      <c r="G58" s="111">
        <f>+G59</f>
        <v>165500</v>
      </c>
      <c r="H58" s="111">
        <f>+H59</f>
        <v>0</v>
      </c>
      <c r="I58" s="111">
        <f t="shared" si="5"/>
        <v>165500</v>
      </c>
      <c r="J58" s="136"/>
    </row>
    <row r="59" spans="1:10" ht="12.75">
      <c r="A59" s="7" t="s">
        <v>283</v>
      </c>
      <c r="B59" s="1" t="s">
        <v>166</v>
      </c>
      <c r="C59" s="1" t="s">
        <v>84</v>
      </c>
      <c r="D59" s="1" t="s">
        <v>59</v>
      </c>
      <c r="E59" s="1" t="s">
        <v>253</v>
      </c>
      <c r="F59" s="17" t="s">
        <v>282</v>
      </c>
      <c r="G59" s="111">
        <v>165500</v>
      </c>
      <c r="H59" s="111"/>
      <c r="I59" s="111">
        <f t="shared" si="5"/>
        <v>165500</v>
      </c>
      <c r="J59" s="136"/>
    </row>
    <row r="60" spans="1:10" ht="38.25">
      <c r="A60" s="7" t="s">
        <v>466</v>
      </c>
      <c r="B60" s="1" t="s">
        <v>166</v>
      </c>
      <c r="C60" s="1" t="s">
        <v>84</v>
      </c>
      <c r="D60" s="1" t="s">
        <v>59</v>
      </c>
      <c r="E60" s="1" t="s">
        <v>467</v>
      </c>
      <c r="F60" s="17"/>
      <c r="G60" s="111">
        <f>SUM(G61:G62)</f>
        <v>170650</v>
      </c>
      <c r="H60" s="111">
        <f>SUM(H61:H62)</f>
        <v>0</v>
      </c>
      <c r="I60" s="111">
        <f>SUM(I61:I62)</f>
        <v>170650</v>
      </c>
      <c r="J60" s="136"/>
    </row>
    <row r="61" spans="1:10" ht="12.75">
      <c r="A61" s="15" t="s">
        <v>134</v>
      </c>
      <c r="B61" s="1" t="s">
        <v>166</v>
      </c>
      <c r="C61" s="1" t="s">
        <v>84</v>
      </c>
      <c r="D61" s="1" t="s">
        <v>59</v>
      </c>
      <c r="E61" s="1" t="s">
        <v>467</v>
      </c>
      <c r="F61" s="17" t="s">
        <v>133</v>
      </c>
      <c r="G61" s="111">
        <v>0</v>
      </c>
      <c r="H61" s="111"/>
      <c r="I61" s="111">
        <f t="shared" si="5"/>
        <v>0</v>
      </c>
      <c r="J61" s="136"/>
    </row>
    <row r="62" spans="1:10" ht="12.75">
      <c r="A62" s="7" t="s">
        <v>283</v>
      </c>
      <c r="B62" s="1" t="s">
        <v>166</v>
      </c>
      <c r="C62" s="1" t="s">
        <v>84</v>
      </c>
      <c r="D62" s="1" t="s">
        <v>59</v>
      </c>
      <c r="E62" s="1" t="s">
        <v>467</v>
      </c>
      <c r="F62" s="17" t="s">
        <v>282</v>
      </c>
      <c r="G62" s="111">
        <v>170650</v>
      </c>
      <c r="H62" s="111"/>
      <c r="I62" s="111">
        <f t="shared" si="5"/>
        <v>170650</v>
      </c>
      <c r="J62" s="136"/>
    </row>
    <row r="63" spans="1:10" ht="12.75" customHeight="1">
      <c r="A63" s="2" t="s">
        <v>68</v>
      </c>
      <c r="B63" s="1" t="s">
        <v>166</v>
      </c>
      <c r="C63" s="1" t="s">
        <v>84</v>
      </c>
      <c r="D63" s="1" t="s">
        <v>59</v>
      </c>
      <c r="E63" s="1" t="s">
        <v>109</v>
      </c>
      <c r="F63" s="17"/>
      <c r="G63" s="111">
        <f>SUM(G64:G65)</f>
        <v>7059447.48</v>
      </c>
      <c r="H63" s="111">
        <f>SUM(H64:H65)</f>
        <v>588059.25</v>
      </c>
      <c r="I63" s="111">
        <f t="shared" si="5"/>
        <v>7647506.73</v>
      </c>
      <c r="J63" s="136"/>
    </row>
    <row r="64" spans="1:12" ht="38.25">
      <c r="A64" s="7" t="s">
        <v>280</v>
      </c>
      <c r="B64" s="1" t="s">
        <v>166</v>
      </c>
      <c r="C64" s="1" t="s">
        <v>84</v>
      </c>
      <c r="D64" s="1" t="s">
        <v>59</v>
      </c>
      <c r="E64" s="1" t="s">
        <v>109</v>
      </c>
      <c r="F64" s="17" t="s">
        <v>281</v>
      </c>
      <c r="G64" s="111">
        <v>6979447.48</v>
      </c>
      <c r="H64" s="111">
        <f>30531+557528.25</f>
        <v>588059.25</v>
      </c>
      <c r="I64" s="111">
        <f t="shared" si="5"/>
        <v>7567506.73</v>
      </c>
      <c r="J64" s="136"/>
      <c r="L64" s="122"/>
    </row>
    <row r="65" spans="1:10" ht="12.75">
      <c r="A65" s="7" t="s">
        <v>283</v>
      </c>
      <c r="B65" s="1" t="s">
        <v>166</v>
      </c>
      <c r="C65" s="1" t="s">
        <v>84</v>
      </c>
      <c r="D65" s="1" t="s">
        <v>59</v>
      </c>
      <c r="E65" s="1" t="s">
        <v>322</v>
      </c>
      <c r="F65" s="17" t="s">
        <v>282</v>
      </c>
      <c r="G65" s="111">
        <v>80000</v>
      </c>
      <c r="H65" s="111"/>
      <c r="I65" s="111">
        <f t="shared" si="5"/>
        <v>80000</v>
      </c>
      <c r="J65" s="136"/>
    </row>
    <row r="66" spans="1:10" ht="12.75">
      <c r="A66" s="2" t="s">
        <v>110</v>
      </c>
      <c r="B66" s="1" t="s">
        <v>166</v>
      </c>
      <c r="C66" s="1" t="s">
        <v>84</v>
      </c>
      <c r="D66" s="1" t="s">
        <v>59</v>
      </c>
      <c r="E66" s="1" t="s">
        <v>111</v>
      </c>
      <c r="F66" s="17"/>
      <c r="G66" s="111">
        <f>G67+G70</f>
        <v>9413890</v>
      </c>
      <c r="H66" s="111">
        <f>H67+H70</f>
        <v>23128</v>
      </c>
      <c r="I66" s="111">
        <f t="shared" si="5"/>
        <v>9437018</v>
      </c>
      <c r="J66" s="136"/>
    </row>
    <row r="67" spans="1:10" ht="12.75" customHeight="1">
      <c r="A67" s="2" t="s">
        <v>68</v>
      </c>
      <c r="B67" s="1" t="s">
        <v>166</v>
      </c>
      <c r="C67" s="1" t="s">
        <v>84</v>
      </c>
      <c r="D67" s="1" t="s">
        <v>59</v>
      </c>
      <c r="E67" s="1" t="s">
        <v>112</v>
      </c>
      <c r="F67" s="17"/>
      <c r="G67" s="111">
        <f>SUM(G68:G69)</f>
        <v>9041990</v>
      </c>
      <c r="H67" s="111">
        <f>SUM(H68:H69)</f>
        <v>23128</v>
      </c>
      <c r="I67" s="111">
        <f t="shared" si="5"/>
        <v>9065118</v>
      </c>
      <c r="J67" s="136"/>
    </row>
    <row r="68" spans="1:12" ht="38.25">
      <c r="A68" s="7" t="s">
        <v>280</v>
      </c>
      <c r="B68" s="1" t="s">
        <v>166</v>
      </c>
      <c r="C68" s="1" t="s">
        <v>84</v>
      </c>
      <c r="D68" s="1" t="s">
        <v>59</v>
      </c>
      <c r="E68" s="1" t="s">
        <v>112</v>
      </c>
      <c r="F68" s="17" t="s">
        <v>281</v>
      </c>
      <c r="G68" s="111">
        <v>8861990</v>
      </c>
      <c r="H68" s="111">
        <v>23128</v>
      </c>
      <c r="I68" s="111">
        <f t="shared" si="5"/>
        <v>8885118</v>
      </c>
      <c r="J68" s="136"/>
      <c r="L68" s="122"/>
    </row>
    <row r="69" spans="1:10" ht="12.75">
      <c r="A69" s="7" t="s">
        <v>283</v>
      </c>
      <c r="B69" s="1" t="s">
        <v>166</v>
      </c>
      <c r="C69" s="1" t="s">
        <v>84</v>
      </c>
      <c r="D69" s="1" t="s">
        <v>59</v>
      </c>
      <c r="E69" s="1" t="s">
        <v>112</v>
      </c>
      <c r="F69" s="17" t="s">
        <v>282</v>
      </c>
      <c r="G69" s="111">
        <v>180000</v>
      </c>
      <c r="H69" s="111"/>
      <c r="I69" s="111">
        <f t="shared" si="5"/>
        <v>180000</v>
      </c>
      <c r="J69" s="136"/>
    </row>
    <row r="70" spans="1:10" ht="63.75">
      <c r="A70" s="13" t="s">
        <v>172</v>
      </c>
      <c r="B70" s="1" t="s">
        <v>166</v>
      </c>
      <c r="C70" s="1" t="s">
        <v>84</v>
      </c>
      <c r="D70" s="1" t="s">
        <v>59</v>
      </c>
      <c r="E70" s="63" t="s">
        <v>174</v>
      </c>
      <c r="F70" s="17"/>
      <c r="G70" s="111">
        <f>G71</f>
        <v>371900</v>
      </c>
      <c r="H70" s="111">
        <f>H71</f>
        <v>0</v>
      </c>
      <c r="I70" s="111">
        <f t="shared" si="5"/>
        <v>371900</v>
      </c>
      <c r="J70" s="136"/>
    </row>
    <row r="71" spans="1:10" ht="12.75">
      <c r="A71" s="7" t="s">
        <v>283</v>
      </c>
      <c r="B71" s="1" t="s">
        <v>166</v>
      </c>
      <c r="C71" s="1" t="s">
        <v>84</v>
      </c>
      <c r="D71" s="1" t="s">
        <v>59</v>
      </c>
      <c r="E71" s="63" t="s">
        <v>174</v>
      </c>
      <c r="F71" s="17" t="s">
        <v>282</v>
      </c>
      <c r="G71" s="111">
        <v>371900</v>
      </c>
      <c r="H71" s="111"/>
      <c r="I71" s="111">
        <f t="shared" si="5"/>
        <v>371900</v>
      </c>
      <c r="J71" s="136"/>
    </row>
    <row r="72" spans="1:10" ht="12.75">
      <c r="A72" s="2" t="s">
        <v>238</v>
      </c>
      <c r="B72" s="1" t="s">
        <v>166</v>
      </c>
      <c r="C72" s="1" t="s">
        <v>84</v>
      </c>
      <c r="D72" s="1" t="s">
        <v>59</v>
      </c>
      <c r="E72" s="1" t="s">
        <v>34</v>
      </c>
      <c r="F72" s="17"/>
      <c r="G72" s="111">
        <f>G73</f>
        <v>1259404.71</v>
      </c>
      <c r="H72" s="111">
        <f>H73</f>
        <v>247795</v>
      </c>
      <c r="I72" s="111">
        <f t="shared" si="5"/>
        <v>1507199.71</v>
      </c>
      <c r="J72" s="136"/>
    </row>
    <row r="73" spans="1:10" ht="25.5">
      <c r="A73" s="2" t="s">
        <v>237</v>
      </c>
      <c r="B73" s="1" t="s">
        <v>166</v>
      </c>
      <c r="C73" s="1" t="s">
        <v>84</v>
      </c>
      <c r="D73" s="1" t="s">
        <v>59</v>
      </c>
      <c r="E73" s="1" t="s">
        <v>35</v>
      </c>
      <c r="F73" s="17"/>
      <c r="G73" s="111">
        <f>SUM(G74:G75)</f>
        <v>1259404.71</v>
      </c>
      <c r="H73" s="111">
        <f>SUM(H74:H75)</f>
        <v>247795</v>
      </c>
      <c r="I73" s="111">
        <f t="shared" si="5"/>
        <v>1507199.71</v>
      </c>
      <c r="J73" s="136"/>
    </row>
    <row r="74" spans="1:12" ht="12.75" customHeight="1">
      <c r="A74" s="15" t="s">
        <v>286</v>
      </c>
      <c r="B74" s="1" t="s">
        <v>166</v>
      </c>
      <c r="C74" s="1" t="s">
        <v>84</v>
      </c>
      <c r="D74" s="1" t="s">
        <v>59</v>
      </c>
      <c r="E74" s="1" t="s">
        <v>35</v>
      </c>
      <c r="F74" s="17" t="s">
        <v>285</v>
      </c>
      <c r="G74" s="111">
        <v>1220273.46</v>
      </c>
      <c r="H74" s="111">
        <f>133795+8000+50000+36000+20000</f>
        <v>247795</v>
      </c>
      <c r="I74" s="111">
        <f t="shared" si="5"/>
        <v>1468068.46</v>
      </c>
      <c r="J74" s="136"/>
      <c r="K74">
        <f>58000+20000</f>
        <v>78000</v>
      </c>
      <c r="L74" s="122"/>
    </row>
    <row r="75" spans="1:10" ht="12.75" customHeight="1">
      <c r="A75" s="15" t="s">
        <v>240</v>
      </c>
      <c r="B75" s="1" t="s">
        <v>166</v>
      </c>
      <c r="C75" s="1" t="s">
        <v>84</v>
      </c>
      <c r="D75" s="1" t="s">
        <v>59</v>
      </c>
      <c r="E75" s="1" t="s">
        <v>35</v>
      </c>
      <c r="F75" s="17" t="s">
        <v>239</v>
      </c>
      <c r="G75" s="111">
        <v>39131.25</v>
      </c>
      <c r="H75" s="111"/>
      <c r="I75" s="111">
        <f t="shared" si="5"/>
        <v>39131.25</v>
      </c>
      <c r="J75" s="136"/>
    </row>
    <row r="76" spans="1:10" ht="12.75" customHeight="1">
      <c r="A76" s="7" t="s">
        <v>421</v>
      </c>
      <c r="B76" s="61" t="s">
        <v>166</v>
      </c>
      <c r="C76" s="1" t="s">
        <v>84</v>
      </c>
      <c r="D76" s="1" t="s">
        <v>59</v>
      </c>
      <c r="E76" s="1" t="s">
        <v>42</v>
      </c>
      <c r="F76" s="17"/>
      <c r="G76" s="111">
        <f aca="true" t="shared" si="6" ref="G76:H78">G77</f>
        <v>1686900</v>
      </c>
      <c r="H76" s="111">
        <f t="shared" si="6"/>
        <v>944000</v>
      </c>
      <c r="I76" s="111">
        <f t="shared" si="5"/>
        <v>2630900</v>
      </c>
      <c r="J76" s="136"/>
    </row>
    <row r="77" spans="1:10" ht="40.5" customHeight="1">
      <c r="A77" s="7" t="s">
        <v>101</v>
      </c>
      <c r="B77" s="61" t="s">
        <v>166</v>
      </c>
      <c r="C77" s="1" t="s">
        <v>84</v>
      </c>
      <c r="D77" s="1" t="s">
        <v>59</v>
      </c>
      <c r="E77" s="1" t="s">
        <v>43</v>
      </c>
      <c r="F77" s="17"/>
      <c r="G77" s="111">
        <f t="shared" si="6"/>
        <v>1686900</v>
      </c>
      <c r="H77" s="111">
        <f t="shared" si="6"/>
        <v>944000</v>
      </c>
      <c r="I77" s="111">
        <f t="shared" si="5"/>
        <v>2630900</v>
      </c>
      <c r="J77" s="136"/>
    </row>
    <row r="78" spans="1:10" ht="66" customHeight="1">
      <c r="A78" s="2" t="s">
        <v>428</v>
      </c>
      <c r="B78" s="1" t="s">
        <v>166</v>
      </c>
      <c r="C78" s="1" t="s">
        <v>84</v>
      </c>
      <c r="D78" s="1" t="s">
        <v>59</v>
      </c>
      <c r="E78" s="3" t="s">
        <v>429</v>
      </c>
      <c r="F78" s="17"/>
      <c r="G78" s="111">
        <f t="shared" si="6"/>
        <v>1686900</v>
      </c>
      <c r="H78" s="111">
        <f t="shared" si="6"/>
        <v>944000</v>
      </c>
      <c r="I78" s="111">
        <f t="shared" si="5"/>
        <v>2630900</v>
      </c>
      <c r="J78" s="136"/>
    </row>
    <row r="79" spans="1:13" ht="45" customHeight="1">
      <c r="A79" s="7" t="s">
        <v>280</v>
      </c>
      <c r="B79" s="1" t="s">
        <v>166</v>
      </c>
      <c r="C79" s="1" t="s">
        <v>84</v>
      </c>
      <c r="D79" s="1" t="s">
        <v>59</v>
      </c>
      <c r="E79" s="3" t="s">
        <v>429</v>
      </c>
      <c r="F79" s="17" t="s">
        <v>281</v>
      </c>
      <c r="G79" s="111">
        <v>1686900</v>
      </c>
      <c r="H79" s="111">
        <f>644000+300000</f>
        <v>944000</v>
      </c>
      <c r="I79" s="111">
        <f t="shared" si="5"/>
        <v>2630900</v>
      </c>
      <c r="J79" s="136"/>
      <c r="M79" s="122"/>
    </row>
    <row r="80" spans="1:10" ht="12.75" customHeight="1">
      <c r="A80" s="2" t="s">
        <v>147</v>
      </c>
      <c r="B80" s="1" t="s">
        <v>166</v>
      </c>
      <c r="C80" s="1" t="s">
        <v>84</v>
      </c>
      <c r="D80" s="1" t="s">
        <v>59</v>
      </c>
      <c r="E80" s="1" t="s">
        <v>148</v>
      </c>
      <c r="F80" s="17"/>
      <c r="G80" s="111">
        <f>+G81</f>
        <v>391000</v>
      </c>
      <c r="H80" s="111">
        <f>+H81</f>
        <v>-9350</v>
      </c>
      <c r="I80" s="111">
        <f t="shared" si="5"/>
        <v>381650</v>
      </c>
      <c r="J80" s="136"/>
    </row>
    <row r="81" spans="1:10" ht="38.25">
      <c r="A81" s="2" t="s">
        <v>351</v>
      </c>
      <c r="B81" s="1" t="s">
        <v>166</v>
      </c>
      <c r="C81" s="1" t="s">
        <v>84</v>
      </c>
      <c r="D81" s="1" t="s">
        <v>59</v>
      </c>
      <c r="E81" s="1" t="s">
        <v>284</v>
      </c>
      <c r="F81" s="17"/>
      <c r="G81" s="111">
        <f>SUM(G82:G83)</f>
        <v>391000</v>
      </c>
      <c r="H81" s="111">
        <f>SUM(H82:H83)</f>
        <v>-9350</v>
      </c>
      <c r="I81" s="111">
        <f t="shared" si="5"/>
        <v>381650</v>
      </c>
      <c r="J81" s="136"/>
    </row>
    <row r="82" spans="1:12" ht="12.75" customHeight="1">
      <c r="A82" s="15" t="s">
        <v>134</v>
      </c>
      <c r="B82" s="1" t="s">
        <v>166</v>
      </c>
      <c r="C82" s="1" t="s">
        <v>84</v>
      </c>
      <c r="D82" s="1" t="s">
        <v>59</v>
      </c>
      <c r="E82" s="1" t="s">
        <v>284</v>
      </c>
      <c r="F82" s="17" t="s">
        <v>133</v>
      </c>
      <c r="G82" s="111">
        <v>9350</v>
      </c>
      <c r="H82" s="111">
        <f>-765.99-8584.01</f>
        <v>-9350</v>
      </c>
      <c r="I82" s="111">
        <f t="shared" si="5"/>
        <v>0</v>
      </c>
      <c r="J82" s="136"/>
      <c r="L82" s="122"/>
    </row>
    <row r="83" spans="1:12" ht="12.75" customHeight="1">
      <c r="A83" s="7" t="s">
        <v>283</v>
      </c>
      <c r="B83" s="1" t="s">
        <v>166</v>
      </c>
      <c r="C83" s="1" t="s">
        <v>84</v>
      </c>
      <c r="D83" s="1" t="s">
        <v>59</v>
      </c>
      <c r="E83" s="1" t="s">
        <v>284</v>
      </c>
      <c r="F83" s="17" t="s">
        <v>282</v>
      </c>
      <c r="G83" s="111">
        <v>381650</v>
      </c>
      <c r="H83" s="111"/>
      <c r="I83" s="111">
        <f t="shared" si="5"/>
        <v>381650</v>
      </c>
      <c r="J83" s="136"/>
      <c r="L83" s="122"/>
    </row>
    <row r="84" spans="1:10" ht="12.75">
      <c r="A84" s="7"/>
      <c r="B84" s="52"/>
      <c r="C84" s="1"/>
      <c r="D84" s="1"/>
      <c r="E84" s="1"/>
      <c r="F84" s="17"/>
      <c r="G84" s="111"/>
      <c r="H84" s="111"/>
      <c r="I84" s="111"/>
      <c r="J84" s="136"/>
    </row>
    <row r="85" spans="1:10" ht="12.75">
      <c r="A85" s="4" t="s">
        <v>190</v>
      </c>
      <c r="B85" s="18" t="s">
        <v>166</v>
      </c>
      <c r="C85" s="19" t="s">
        <v>84</v>
      </c>
      <c r="D85" s="19" t="s">
        <v>54</v>
      </c>
      <c r="E85" s="19"/>
      <c r="F85" s="37"/>
      <c r="G85" s="109">
        <f>G86</f>
        <v>4488884.62</v>
      </c>
      <c r="H85" s="109">
        <f>H86</f>
        <v>-34605</v>
      </c>
      <c r="I85" s="109">
        <f>SUM(G85:H85)</f>
        <v>4454279.62</v>
      </c>
      <c r="J85" s="134"/>
    </row>
    <row r="86" spans="1:10" ht="38.25">
      <c r="A86" s="7" t="s">
        <v>91</v>
      </c>
      <c r="B86" s="1" t="s">
        <v>166</v>
      </c>
      <c r="C86" s="1" t="s">
        <v>84</v>
      </c>
      <c r="D86" s="1" t="s">
        <v>54</v>
      </c>
      <c r="E86" s="1" t="s">
        <v>92</v>
      </c>
      <c r="F86" s="17"/>
      <c r="G86" s="107">
        <f>SUM(G87)</f>
        <v>4488884.62</v>
      </c>
      <c r="H86" s="107">
        <f>SUM(H87)</f>
        <v>-34605</v>
      </c>
      <c r="I86" s="107">
        <f>SUM(G86:H86)</f>
        <v>4454279.62</v>
      </c>
      <c r="J86" s="137"/>
    </row>
    <row r="87" spans="1:10" ht="12.75">
      <c r="A87" s="2" t="s">
        <v>94</v>
      </c>
      <c r="B87" s="1" t="s">
        <v>166</v>
      </c>
      <c r="C87" s="1" t="s">
        <v>84</v>
      </c>
      <c r="D87" s="1" t="s">
        <v>54</v>
      </c>
      <c r="E87" s="1" t="s">
        <v>95</v>
      </c>
      <c r="F87" s="17"/>
      <c r="G87" s="111">
        <f>G88</f>
        <v>4488884.62</v>
      </c>
      <c r="H87" s="111">
        <f>H88</f>
        <v>-34605</v>
      </c>
      <c r="I87" s="107">
        <f>SUM(G87:H87)</f>
        <v>4454279.62</v>
      </c>
      <c r="J87" s="137"/>
    </row>
    <row r="88" spans="1:10" ht="12.75" customHeight="1">
      <c r="A88" s="15" t="s">
        <v>134</v>
      </c>
      <c r="B88" s="1" t="s">
        <v>166</v>
      </c>
      <c r="C88" s="1" t="s">
        <v>84</v>
      </c>
      <c r="D88" s="1" t="s">
        <v>54</v>
      </c>
      <c r="E88" s="1" t="s">
        <v>95</v>
      </c>
      <c r="F88" s="17" t="s">
        <v>133</v>
      </c>
      <c r="G88" s="111">
        <v>4488884.62</v>
      </c>
      <c r="H88" s="111">
        <f>1395-36000</f>
        <v>-34605</v>
      </c>
      <c r="I88" s="107">
        <f>SUM(G88:H88)</f>
        <v>4454279.62</v>
      </c>
      <c r="J88" s="137"/>
    </row>
    <row r="89" spans="1:10" ht="12.75">
      <c r="A89" s="15"/>
      <c r="B89" s="61"/>
      <c r="C89" s="1"/>
      <c r="D89" s="1"/>
      <c r="E89" s="1"/>
      <c r="F89" s="17"/>
      <c r="G89" s="111"/>
      <c r="H89" s="111"/>
      <c r="I89" s="111"/>
      <c r="J89" s="136"/>
    </row>
    <row r="90" spans="1:10" ht="15.75">
      <c r="A90" s="34" t="s">
        <v>22</v>
      </c>
      <c r="B90" s="35" t="s">
        <v>166</v>
      </c>
      <c r="C90" s="41" t="s">
        <v>88</v>
      </c>
      <c r="D90" s="1"/>
      <c r="E90" s="1"/>
      <c r="F90" s="17"/>
      <c r="G90" s="108">
        <f>G91</f>
        <v>1004579</v>
      </c>
      <c r="H90" s="108">
        <f>H91</f>
        <v>2211</v>
      </c>
      <c r="I90" s="108">
        <f aca="true" t="shared" si="7" ref="I90:I95">SUM(G90:H90)</f>
        <v>1006790</v>
      </c>
      <c r="J90" s="133"/>
    </row>
    <row r="91" spans="1:10" ht="12.75">
      <c r="A91" s="4" t="s">
        <v>27</v>
      </c>
      <c r="B91" s="18" t="s">
        <v>166</v>
      </c>
      <c r="C91" s="19" t="s">
        <v>88</v>
      </c>
      <c r="D91" s="19" t="s">
        <v>41</v>
      </c>
      <c r="E91" s="1"/>
      <c r="F91" s="17"/>
      <c r="G91" s="109">
        <f>SUM(G92+G96+G102+G99)</f>
        <v>1004579</v>
      </c>
      <c r="H91" s="109">
        <f>SUM(H92+H96+H102+H99)</f>
        <v>2211</v>
      </c>
      <c r="I91" s="109">
        <f t="shared" si="7"/>
        <v>1006790</v>
      </c>
      <c r="J91" s="134"/>
    </row>
    <row r="92" spans="1:10" ht="12.75">
      <c r="A92" s="2" t="s">
        <v>394</v>
      </c>
      <c r="B92" s="14" t="s">
        <v>166</v>
      </c>
      <c r="C92" s="1" t="s">
        <v>88</v>
      </c>
      <c r="D92" s="1" t="s">
        <v>41</v>
      </c>
      <c r="E92" s="1" t="s">
        <v>395</v>
      </c>
      <c r="F92" s="17"/>
      <c r="G92" s="107">
        <f aca="true" t="shared" si="8" ref="G92:H94">G93</f>
        <v>167832</v>
      </c>
      <c r="H92" s="107">
        <f t="shared" si="8"/>
        <v>0</v>
      </c>
      <c r="I92" s="107">
        <f t="shared" si="7"/>
        <v>167832</v>
      </c>
      <c r="J92" s="137"/>
    </row>
    <row r="93" spans="1:10" ht="25.5">
      <c r="A93" s="2" t="s">
        <v>396</v>
      </c>
      <c r="B93" s="14" t="s">
        <v>166</v>
      </c>
      <c r="C93" s="1" t="s">
        <v>88</v>
      </c>
      <c r="D93" s="1" t="s">
        <v>41</v>
      </c>
      <c r="E93" s="1" t="s">
        <v>397</v>
      </c>
      <c r="F93" s="17"/>
      <c r="G93" s="107">
        <f t="shared" si="8"/>
        <v>167832</v>
      </c>
      <c r="H93" s="107">
        <f t="shared" si="8"/>
        <v>0</v>
      </c>
      <c r="I93" s="107">
        <f t="shared" si="7"/>
        <v>167832</v>
      </c>
      <c r="J93" s="137"/>
    </row>
    <row r="94" spans="1:10" ht="12.75">
      <c r="A94" s="2" t="s">
        <v>398</v>
      </c>
      <c r="B94" s="14" t="s">
        <v>166</v>
      </c>
      <c r="C94" s="1" t="s">
        <v>88</v>
      </c>
      <c r="D94" s="1" t="s">
        <v>41</v>
      </c>
      <c r="E94" s="1" t="s">
        <v>399</v>
      </c>
      <c r="F94" s="17"/>
      <c r="G94" s="107">
        <f t="shared" si="8"/>
        <v>167832</v>
      </c>
      <c r="H94" s="107">
        <f t="shared" si="8"/>
        <v>0</v>
      </c>
      <c r="I94" s="107">
        <f t="shared" si="7"/>
        <v>167832</v>
      </c>
      <c r="J94" s="137"/>
    </row>
    <row r="95" spans="1:11" ht="12.75">
      <c r="A95" s="2" t="s">
        <v>10</v>
      </c>
      <c r="B95" s="14" t="s">
        <v>166</v>
      </c>
      <c r="C95" s="1" t="s">
        <v>88</v>
      </c>
      <c r="D95" s="1" t="s">
        <v>41</v>
      </c>
      <c r="E95" s="1" t="s">
        <v>399</v>
      </c>
      <c r="F95" s="17" t="s">
        <v>56</v>
      </c>
      <c r="G95" s="107">
        <v>167832</v>
      </c>
      <c r="H95" s="107"/>
      <c r="I95" s="107">
        <f t="shared" si="7"/>
        <v>167832</v>
      </c>
      <c r="J95" s="137"/>
      <c r="K95" s="122"/>
    </row>
    <row r="96" spans="1:10" ht="12.75">
      <c r="A96" s="7" t="s">
        <v>29</v>
      </c>
      <c r="B96" s="1" t="s">
        <v>166</v>
      </c>
      <c r="C96" s="1" t="s">
        <v>88</v>
      </c>
      <c r="D96" s="1" t="s">
        <v>41</v>
      </c>
      <c r="E96" s="1" t="s">
        <v>30</v>
      </c>
      <c r="F96" s="17"/>
      <c r="G96" s="107">
        <f>G97</f>
        <v>24200</v>
      </c>
      <c r="H96" s="107">
        <f>H97</f>
        <v>0</v>
      </c>
      <c r="I96" s="107">
        <f aca="true" t="shared" si="9" ref="I96:I104">SUM(G96:H96)</f>
        <v>24200</v>
      </c>
      <c r="J96" s="137"/>
    </row>
    <row r="97" spans="1:10" ht="12.75">
      <c r="A97" s="2" t="s">
        <v>28</v>
      </c>
      <c r="B97" s="1" t="s">
        <v>166</v>
      </c>
      <c r="C97" s="1" t="s">
        <v>88</v>
      </c>
      <c r="D97" s="1" t="s">
        <v>41</v>
      </c>
      <c r="E97" s="1" t="s">
        <v>31</v>
      </c>
      <c r="F97" s="17"/>
      <c r="G97" s="107">
        <f>G98</f>
        <v>24200</v>
      </c>
      <c r="H97" s="107">
        <f>H98</f>
        <v>0</v>
      </c>
      <c r="I97" s="107">
        <f t="shared" si="9"/>
        <v>24200</v>
      </c>
      <c r="J97" s="137"/>
    </row>
    <row r="98" spans="1:10" ht="12.75">
      <c r="A98" s="2" t="s">
        <v>66</v>
      </c>
      <c r="B98" s="1" t="s">
        <v>166</v>
      </c>
      <c r="C98" s="1" t="s">
        <v>88</v>
      </c>
      <c r="D98" s="1" t="s">
        <v>41</v>
      </c>
      <c r="E98" s="1" t="s">
        <v>31</v>
      </c>
      <c r="F98" s="17" t="s">
        <v>36</v>
      </c>
      <c r="G98" s="107">
        <v>24200</v>
      </c>
      <c r="H98" s="107"/>
      <c r="I98" s="107">
        <f t="shared" si="9"/>
        <v>24200</v>
      </c>
      <c r="J98" s="137"/>
    </row>
    <row r="99" spans="1:10" ht="12.75">
      <c r="A99" s="2" t="s">
        <v>140</v>
      </c>
      <c r="B99" s="14" t="s">
        <v>166</v>
      </c>
      <c r="C99" s="1" t="s">
        <v>88</v>
      </c>
      <c r="D99" s="1" t="s">
        <v>41</v>
      </c>
      <c r="E99" s="1" t="s">
        <v>141</v>
      </c>
      <c r="F99" s="17"/>
      <c r="G99" s="107">
        <f>G100</f>
        <v>218484</v>
      </c>
      <c r="H99" s="107">
        <f>H100</f>
        <v>0</v>
      </c>
      <c r="I99" s="107">
        <f t="shared" si="9"/>
        <v>218484</v>
      </c>
      <c r="J99" s="137"/>
    </row>
    <row r="100" spans="1:10" ht="29.25" customHeight="1">
      <c r="A100" s="2" t="s">
        <v>405</v>
      </c>
      <c r="B100" s="14" t="s">
        <v>166</v>
      </c>
      <c r="C100" s="1" t="s">
        <v>88</v>
      </c>
      <c r="D100" s="1" t="s">
        <v>41</v>
      </c>
      <c r="E100" s="1" t="s">
        <v>404</v>
      </c>
      <c r="F100" s="17"/>
      <c r="G100" s="107">
        <f>G101</f>
        <v>218484</v>
      </c>
      <c r="H100" s="107">
        <f>H101</f>
        <v>0</v>
      </c>
      <c r="I100" s="107">
        <f t="shared" si="9"/>
        <v>218484</v>
      </c>
      <c r="J100" s="137"/>
    </row>
    <row r="101" spans="1:11" ht="12.75">
      <c r="A101" s="2" t="s">
        <v>10</v>
      </c>
      <c r="B101" s="14" t="s">
        <v>166</v>
      </c>
      <c r="C101" s="1" t="s">
        <v>88</v>
      </c>
      <c r="D101" s="1" t="s">
        <v>41</v>
      </c>
      <c r="E101" s="1" t="s">
        <v>404</v>
      </c>
      <c r="F101" s="17" t="s">
        <v>56</v>
      </c>
      <c r="G101" s="107">
        <v>218484</v>
      </c>
      <c r="H101" s="107"/>
      <c r="I101" s="107">
        <f t="shared" si="9"/>
        <v>218484</v>
      </c>
      <c r="J101" s="137"/>
      <c r="K101" s="122"/>
    </row>
    <row r="102" spans="1:10" ht="12.75">
      <c r="A102" s="2" t="s">
        <v>147</v>
      </c>
      <c r="B102" s="1" t="s">
        <v>166</v>
      </c>
      <c r="C102" s="1" t="s">
        <v>88</v>
      </c>
      <c r="D102" s="1" t="s">
        <v>41</v>
      </c>
      <c r="E102" s="1" t="s">
        <v>148</v>
      </c>
      <c r="F102" s="17"/>
      <c r="G102" s="111">
        <f>SUM(G103)</f>
        <v>594063</v>
      </c>
      <c r="H102" s="111">
        <f>SUM(H103)</f>
        <v>2211</v>
      </c>
      <c r="I102" s="107">
        <f t="shared" si="9"/>
        <v>596274</v>
      </c>
      <c r="J102" s="137"/>
    </row>
    <row r="103" spans="1:10" ht="38.25" customHeight="1">
      <c r="A103" s="2" t="s">
        <v>265</v>
      </c>
      <c r="B103" s="1" t="s">
        <v>166</v>
      </c>
      <c r="C103" s="1" t="s">
        <v>13</v>
      </c>
      <c r="D103" s="1" t="s">
        <v>41</v>
      </c>
      <c r="E103" s="1" t="s">
        <v>223</v>
      </c>
      <c r="F103" s="17"/>
      <c r="G103" s="111">
        <f>G104</f>
        <v>594063</v>
      </c>
      <c r="H103" s="111">
        <f>H104</f>
        <v>2211</v>
      </c>
      <c r="I103" s="107">
        <f t="shared" si="9"/>
        <v>596274</v>
      </c>
      <c r="J103" s="137"/>
    </row>
    <row r="104" spans="1:12" ht="12.75">
      <c r="A104" s="15" t="s">
        <v>10</v>
      </c>
      <c r="B104" s="1" t="s">
        <v>166</v>
      </c>
      <c r="C104" s="1" t="s">
        <v>13</v>
      </c>
      <c r="D104" s="1" t="s">
        <v>41</v>
      </c>
      <c r="E104" s="1" t="s">
        <v>223</v>
      </c>
      <c r="F104" s="17" t="s">
        <v>56</v>
      </c>
      <c r="G104" s="111">
        <v>594063</v>
      </c>
      <c r="H104" s="111">
        <v>2211</v>
      </c>
      <c r="I104" s="107">
        <f t="shared" si="9"/>
        <v>596274</v>
      </c>
      <c r="J104" s="137"/>
      <c r="L104" s="122"/>
    </row>
    <row r="105" spans="1:10" ht="12.75">
      <c r="A105" s="96"/>
      <c r="B105" s="97"/>
      <c r="C105" s="98"/>
      <c r="D105" s="98"/>
      <c r="E105" s="98"/>
      <c r="F105" s="99"/>
      <c r="G105" s="115"/>
      <c r="H105" s="115"/>
      <c r="I105" s="115"/>
      <c r="J105" s="136"/>
    </row>
    <row r="106" spans="1:10" ht="15.75">
      <c r="A106" s="45" t="s">
        <v>18</v>
      </c>
      <c r="B106" s="41" t="s">
        <v>166</v>
      </c>
      <c r="C106" s="41" t="s">
        <v>58</v>
      </c>
      <c r="D106" s="1"/>
      <c r="E106" s="1"/>
      <c r="F106" s="17"/>
      <c r="G106" s="108">
        <f>G107</f>
        <v>1004200</v>
      </c>
      <c r="H106" s="108">
        <f>H107</f>
        <v>0</v>
      </c>
      <c r="I106" s="108">
        <f>SUM(G106:H106)</f>
        <v>1004200</v>
      </c>
      <c r="J106" s="133"/>
    </row>
    <row r="107" spans="1:10" ht="12.75">
      <c r="A107" s="33" t="s">
        <v>191</v>
      </c>
      <c r="B107" s="18" t="s">
        <v>166</v>
      </c>
      <c r="C107" s="18" t="s">
        <v>58</v>
      </c>
      <c r="D107" s="18" t="s">
        <v>59</v>
      </c>
      <c r="E107" s="18"/>
      <c r="F107" s="40"/>
      <c r="G107" s="109">
        <f>G108+G111</f>
        <v>1004200</v>
      </c>
      <c r="H107" s="109">
        <f>H108+H111</f>
        <v>0</v>
      </c>
      <c r="I107" s="109">
        <f>SUM(G107:H107)</f>
        <v>1004200</v>
      </c>
      <c r="J107" s="134"/>
    </row>
    <row r="108" spans="1:10" ht="25.5">
      <c r="A108" s="2" t="s">
        <v>19</v>
      </c>
      <c r="B108" s="1" t="s">
        <v>166</v>
      </c>
      <c r="C108" s="1" t="s">
        <v>58</v>
      </c>
      <c r="D108" s="1" t="s">
        <v>59</v>
      </c>
      <c r="E108" s="1" t="s">
        <v>20</v>
      </c>
      <c r="F108" s="17"/>
      <c r="G108" s="111">
        <f>G109</f>
        <v>1004200</v>
      </c>
      <c r="H108" s="111">
        <f>H109</f>
        <v>0</v>
      </c>
      <c r="I108" s="107">
        <f aca="true" t="shared" si="10" ref="I108:I113">SUM(G108:H108)</f>
        <v>1004200</v>
      </c>
      <c r="J108" s="137"/>
    </row>
    <row r="109" spans="1:10" ht="25.5">
      <c r="A109" s="2" t="s">
        <v>228</v>
      </c>
      <c r="B109" s="1" t="s">
        <v>166</v>
      </c>
      <c r="C109" s="1" t="s">
        <v>58</v>
      </c>
      <c r="D109" s="1" t="s">
        <v>59</v>
      </c>
      <c r="E109" s="1" t="s">
        <v>21</v>
      </c>
      <c r="F109" s="17"/>
      <c r="G109" s="111">
        <f>G110</f>
        <v>1004200</v>
      </c>
      <c r="H109" s="111">
        <f>H110</f>
        <v>0</v>
      </c>
      <c r="I109" s="107">
        <f t="shared" si="10"/>
        <v>1004200</v>
      </c>
      <c r="J109" s="137"/>
    </row>
    <row r="110" spans="1:12" ht="12.75" customHeight="1">
      <c r="A110" s="15" t="s">
        <v>134</v>
      </c>
      <c r="B110" s="1" t="s">
        <v>166</v>
      </c>
      <c r="C110" s="1" t="s">
        <v>58</v>
      </c>
      <c r="D110" s="1" t="s">
        <v>59</v>
      </c>
      <c r="E110" s="1" t="s">
        <v>21</v>
      </c>
      <c r="F110" s="17" t="s">
        <v>133</v>
      </c>
      <c r="G110" s="111">
        <v>1004200</v>
      </c>
      <c r="H110" s="111"/>
      <c r="I110" s="107">
        <f t="shared" si="10"/>
        <v>1004200</v>
      </c>
      <c r="J110" s="137"/>
      <c r="L110" s="122"/>
    </row>
    <row r="111" spans="1:10" ht="12.75">
      <c r="A111" s="2" t="s">
        <v>147</v>
      </c>
      <c r="B111" s="1" t="s">
        <v>166</v>
      </c>
      <c r="C111" s="1" t="s">
        <v>58</v>
      </c>
      <c r="D111" s="1" t="s">
        <v>59</v>
      </c>
      <c r="E111" s="1" t="s">
        <v>148</v>
      </c>
      <c r="F111" s="17"/>
      <c r="G111" s="111">
        <f>G112</f>
        <v>0</v>
      </c>
      <c r="H111" s="111">
        <f>H112</f>
        <v>0</v>
      </c>
      <c r="I111" s="107">
        <f t="shared" si="10"/>
        <v>0</v>
      </c>
      <c r="J111" s="137"/>
    </row>
    <row r="112" spans="1:10" ht="25.5">
      <c r="A112" s="65" t="s">
        <v>297</v>
      </c>
      <c r="B112" s="1" t="s">
        <v>166</v>
      </c>
      <c r="C112" s="1" t="s">
        <v>58</v>
      </c>
      <c r="D112" s="1" t="s">
        <v>59</v>
      </c>
      <c r="E112" s="1" t="s">
        <v>227</v>
      </c>
      <c r="F112" s="17"/>
      <c r="G112" s="111">
        <f>G113</f>
        <v>0</v>
      </c>
      <c r="H112" s="111">
        <f>H113</f>
        <v>0</v>
      </c>
      <c r="I112" s="107">
        <f t="shared" si="10"/>
        <v>0</v>
      </c>
      <c r="J112" s="137"/>
    </row>
    <row r="113" spans="1:10" ht="12.75">
      <c r="A113" s="15" t="s">
        <v>150</v>
      </c>
      <c r="B113" s="1" t="s">
        <v>166</v>
      </c>
      <c r="C113" s="1" t="s">
        <v>58</v>
      </c>
      <c r="D113" s="1" t="s">
        <v>59</v>
      </c>
      <c r="E113" s="1" t="s">
        <v>227</v>
      </c>
      <c r="F113" s="17" t="s">
        <v>149</v>
      </c>
      <c r="G113" s="111">
        <v>0</v>
      </c>
      <c r="H113" s="111"/>
      <c r="I113" s="107">
        <f t="shared" si="10"/>
        <v>0</v>
      </c>
      <c r="J113" s="137"/>
    </row>
    <row r="114" spans="1:10" ht="12.75">
      <c r="A114" s="15"/>
      <c r="B114" s="1"/>
      <c r="C114" s="1"/>
      <c r="D114" s="1"/>
      <c r="E114" s="1"/>
      <c r="F114" s="17"/>
      <c r="G114" s="111"/>
      <c r="H114" s="111"/>
      <c r="I114" s="111"/>
      <c r="J114" s="136"/>
    </row>
    <row r="115" spans="1:10" ht="15.75">
      <c r="A115" s="45" t="s">
        <v>229</v>
      </c>
      <c r="B115" s="41" t="s">
        <v>166</v>
      </c>
      <c r="C115" s="41" t="s">
        <v>89</v>
      </c>
      <c r="D115" s="1"/>
      <c r="E115" s="1"/>
      <c r="F115" s="17"/>
      <c r="G115" s="108">
        <f aca="true" t="shared" si="11" ref="G115:H118">+G116</f>
        <v>297600</v>
      </c>
      <c r="H115" s="108">
        <f t="shared" si="11"/>
        <v>0</v>
      </c>
      <c r="I115" s="108">
        <f>SUM(G115:H115)</f>
        <v>297600</v>
      </c>
      <c r="J115" s="133"/>
    </row>
    <row r="116" spans="1:10" ht="12.75">
      <c r="A116" s="33" t="s">
        <v>230</v>
      </c>
      <c r="B116" s="18" t="s">
        <v>166</v>
      </c>
      <c r="C116" s="18" t="s">
        <v>89</v>
      </c>
      <c r="D116" s="18" t="s">
        <v>59</v>
      </c>
      <c r="E116" s="18"/>
      <c r="F116" s="40"/>
      <c r="G116" s="109">
        <f t="shared" si="11"/>
        <v>297600</v>
      </c>
      <c r="H116" s="109">
        <f t="shared" si="11"/>
        <v>0</v>
      </c>
      <c r="I116" s="109">
        <f>SUM(G116:H116)</f>
        <v>297600</v>
      </c>
      <c r="J116" s="134"/>
    </row>
    <row r="117" spans="1:10" ht="12.75">
      <c r="A117" s="15" t="s">
        <v>232</v>
      </c>
      <c r="B117" s="1" t="s">
        <v>166</v>
      </c>
      <c r="C117" s="1" t="s">
        <v>89</v>
      </c>
      <c r="D117" s="1" t="s">
        <v>59</v>
      </c>
      <c r="E117" s="1" t="s">
        <v>231</v>
      </c>
      <c r="F117" s="17"/>
      <c r="G117" s="111">
        <f t="shared" si="11"/>
        <v>297600</v>
      </c>
      <c r="H117" s="111">
        <f t="shared" si="11"/>
        <v>0</v>
      </c>
      <c r="I117" s="107">
        <f>SUM(G117:H117)</f>
        <v>297600</v>
      </c>
      <c r="J117" s="137"/>
    </row>
    <row r="118" spans="1:10" ht="12.75">
      <c r="A118" s="15" t="s">
        <v>235</v>
      </c>
      <c r="B118" s="1" t="s">
        <v>166</v>
      </c>
      <c r="C118" s="1" t="s">
        <v>89</v>
      </c>
      <c r="D118" s="1" t="s">
        <v>59</v>
      </c>
      <c r="E118" s="1" t="s">
        <v>234</v>
      </c>
      <c r="F118" s="17"/>
      <c r="G118" s="111">
        <f t="shared" si="11"/>
        <v>297600</v>
      </c>
      <c r="H118" s="111">
        <f t="shared" si="11"/>
        <v>0</v>
      </c>
      <c r="I118" s="107">
        <f>SUM(G118:H118)</f>
        <v>297600</v>
      </c>
      <c r="J118" s="137"/>
    </row>
    <row r="119" spans="1:10" ht="12.75">
      <c r="A119" s="2" t="s">
        <v>236</v>
      </c>
      <c r="B119" s="1" t="s">
        <v>166</v>
      </c>
      <c r="C119" s="1" t="s">
        <v>89</v>
      </c>
      <c r="D119" s="1" t="s">
        <v>59</v>
      </c>
      <c r="E119" s="1" t="s">
        <v>234</v>
      </c>
      <c r="F119" s="17" t="s">
        <v>233</v>
      </c>
      <c r="G119" s="111">
        <v>297600</v>
      </c>
      <c r="H119" s="111"/>
      <c r="I119" s="107">
        <f>SUM(G119:H119)</f>
        <v>297600</v>
      </c>
      <c r="J119" s="137"/>
    </row>
    <row r="120" spans="1:10" ht="12.75">
      <c r="A120" s="2"/>
      <c r="B120" s="1"/>
      <c r="C120" s="1"/>
      <c r="D120" s="1"/>
      <c r="E120" s="1"/>
      <c r="F120" s="17"/>
      <c r="G120" s="111"/>
      <c r="H120" s="111"/>
      <c r="I120" s="111"/>
      <c r="J120" s="136"/>
    </row>
    <row r="121" spans="1:10" ht="32.25" customHeight="1">
      <c r="A121" s="60" t="s">
        <v>164</v>
      </c>
      <c r="B121" s="59" t="s">
        <v>165</v>
      </c>
      <c r="C121" s="57"/>
      <c r="D121" s="57"/>
      <c r="E121" s="58"/>
      <c r="F121" s="56"/>
      <c r="G121" s="114">
        <f>SUM(G127+G215+G122+G235)</f>
        <v>245253701.95</v>
      </c>
      <c r="H121" s="114">
        <f>SUM(H127+H215+H122+H235)</f>
        <v>9715023.29</v>
      </c>
      <c r="I121" s="114">
        <f aca="true" t="shared" si="12" ref="I121:I127">SUM(G121:H121)</f>
        <v>254968725.23999998</v>
      </c>
      <c r="J121" s="132"/>
    </row>
    <row r="122" spans="1:10" ht="17.25" customHeight="1">
      <c r="A122" s="34" t="s">
        <v>90</v>
      </c>
      <c r="B122" s="41" t="s">
        <v>165</v>
      </c>
      <c r="C122" s="41" t="s">
        <v>59</v>
      </c>
      <c r="D122" s="42"/>
      <c r="E122" s="49"/>
      <c r="F122" s="17"/>
      <c r="G122" s="108">
        <f aca="true" t="shared" si="13" ref="G122:H125">G123</f>
        <v>39839.17</v>
      </c>
      <c r="H122" s="108">
        <f t="shared" si="13"/>
        <v>0</v>
      </c>
      <c r="I122" s="108">
        <f t="shared" si="12"/>
        <v>39839.17</v>
      </c>
      <c r="J122" s="133"/>
    </row>
    <row r="123" spans="1:10" ht="51.75" customHeight="1">
      <c r="A123" s="33" t="s">
        <v>11</v>
      </c>
      <c r="B123" s="18" t="s">
        <v>165</v>
      </c>
      <c r="C123" s="19" t="s">
        <v>59</v>
      </c>
      <c r="D123" s="19" t="s">
        <v>54</v>
      </c>
      <c r="E123" s="49"/>
      <c r="F123" s="17"/>
      <c r="G123" s="109">
        <f t="shared" si="13"/>
        <v>39839.17</v>
      </c>
      <c r="H123" s="109">
        <f t="shared" si="13"/>
        <v>0</v>
      </c>
      <c r="I123" s="109">
        <f t="shared" si="12"/>
        <v>39839.17</v>
      </c>
      <c r="J123" s="134"/>
    </row>
    <row r="124" spans="1:10" ht="36.75" customHeight="1">
      <c r="A124" s="15" t="s">
        <v>61</v>
      </c>
      <c r="B124" s="1" t="s">
        <v>165</v>
      </c>
      <c r="C124" s="1" t="s">
        <v>59</v>
      </c>
      <c r="D124" s="1" t="s">
        <v>54</v>
      </c>
      <c r="E124" s="1" t="s">
        <v>92</v>
      </c>
      <c r="F124" s="17"/>
      <c r="G124" s="107">
        <f t="shared" si="13"/>
        <v>39839.17</v>
      </c>
      <c r="H124" s="107">
        <f t="shared" si="13"/>
        <v>0</v>
      </c>
      <c r="I124" s="107">
        <f t="shared" si="12"/>
        <v>39839.17</v>
      </c>
      <c r="J124" s="137"/>
    </row>
    <row r="125" spans="1:10" ht="20.25" customHeight="1">
      <c r="A125" s="15" t="s">
        <v>94</v>
      </c>
      <c r="B125" s="1" t="s">
        <v>165</v>
      </c>
      <c r="C125" s="1" t="s">
        <v>59</v>
      </c>
      <c r="D125" s="1" t="s">
        <v>54</v>
      </c>
      <c r="E125" s="1" t="s">
        <v>95</v>
      </c>
      <c r="F125" s="17"/>
      <c r="G125" s="107">
        <f t="shared" si="13"/>
        <v>39839.17</v>
      </c>
      <c r="H125" s="107">
        <f t="shared" si="13"/>
        <v>0</v>
      </c>
      <c r="I125" s="107">
        <f t="shared" si="12"/>
        <v>39839.17</v>
      </c>
      <c r="J125" s="137"/>
    </row>
    <row r="126" spans="1:12" ht="17.25" customHeight="1">
      <c r="A126" s="15" t="s">
        <v>66</v>
      </c>
      <c r="B126" s="1" t="s">
        <v>165</v>
      </c>
      <c r="C126" s="1" t="s">
        <v>59</v>
      </c>
      <c r="D126" s="1" t="s">
        <v>54</v>
      </c>
      <c r="E126" s="1" t="s">
        <v>95</v>
      </c>
      <c r="F126" s="17" t="s">
        <v>36</v>
      </c>
      <c r="G126" s="107">
        <v>39839.17</v>
      </c>
      <c r="H126" s="107"/>
      <c r="I126" s="107">
        <f t="shared" si="12"/>
        <v>39839.17</v>
      </c>
      <c r="J126" s="137"/>
      <c r="L126" s="123"/>
    </row>
    <row r="127" spans="1:10" ht="15.75">
      <c r="A127" s="34" t="s">
        <v>77</v>
      </c>
      <c r="B127" s="41" t="s">
        <v>165</v>
      </c>
      <c r="C127" s="41" t="s">
        <v>16</v>
      </c>
      <c r="D127" s="42"/>
      <c r="E127" s="42"/>
      <c r="F127" s="43"/>
      <c r="G127" s="108">
        <f>SUM(G128+G148+G189+G206)</f>
        <v>233378862.78</v>
      </c>
      <c r="H127" s="108">
        <f>SUM(H128+H148+H189+H206)</f>
        <v>9629023.29</v>
      </c>
      <c r="I127" s="108">
        <f t="shared" si="12"/>
        <v>243007886.07</v>
      </c>
      <c r="J127" s="133"/>
    </row>
    <row r="128" spans="1:10" ht="12.75">
      <c r="A128" s="4" t="s">
        <v>32</v>
      </c>
      <c r="B128" s="18" t="s">
        <v>165</v>
      </c>
      <c r="C128" s="18" t="s">
        <v>16</v>
      </c>
      <c r="D128" s="18" t="s">
        <v>59</v>
      </c>
      <c r="E128" s="18"/>
      <c r="F128" s="40"/>
      <c r="G128" s="109">
        <f>SUM(G129+G133+G136+G140+G144)</f>
        <v>46282715.1</v>
      </c>
      <c r="H128" s="109">
        <f>SUM(H129+H133+H136+H140+H144)</f>
        <v>415374.9999999999</v>
      </c>
      <c r="I128" s="109">
        <f>SUM(I129+I136+I140+I144)</f>
        <v>45998090.1</v>
      </c>
      <c r="J128" s="134"/>
    </row>
    <row r="129" spans="1:10" ht="12.75">
      <c r="A129" s="7" t="s">
        <v>113</v>
      </c>
      <c r="B129" s="1" t="s">
        <v>165</v>
      </c>
      <c r="C129" s="1" t="s">
        <v>16</v>
      </c>
      <c r="D129" s="1" t="s">
        <v>59</v>
      </c>
      <c r="E129" s="1" t="s">
        <v>114</v>
      </c>
      <c r="F129" s="17"/>
      <c r="G129" s="107">
        <f>G130</f>
        <v>10599044.1</v>
      </c>
      <c r="H129" s="107">
        <f>H130</f>
        <v>-380625.0000000001</v>
      </c>
      <c r="I129" s="107">
        <f aca="true" t="shared" si="14" ref="I129:I146">SUM(G129:H129)</f>
        <v>10218419.1</v>
      </c>
      <c r="J129" s="137"/>
    </row>
    <row r="130" spans="1:10" ht="12.75" customHeight="1">
      <c r="A130" s="2" t="s">
        <v>68</v>
      </c>
      <c r="B130" s="1" t="s">
        <v>165</v>
      </c>
      <c r="C130" s="1" t="s">
        <v>16</v>
      </c>
      <c r="D130" s="1" t="s">
        <v>59</v>
      </c>
      <c r="E130" s="1" t="s">
        <v>115</v>
      </c>
      <c r="F130" s="17"/>
      <c r="G130" s="111">
        <f>SUM(G131:G132)</f>
        <v>10599044.1</v>
      </c>
      <c r="H130" s="111">
        <f>SUM(H131:H132)</f>
        <v>-380625.0000000001</v>
      </c>
      <c r="I130" s="107">
        <f t="shared" si="14"/>
        <v>10218419.1</v>
      </c>
      <c r="J130" s="137"/>
    </row>
    <row r="131" spans="1:10" ht="38.25">
      <c r="A131" s="7" t="s">
        <v>280</v>
      </c>
      <c r="B131" s="1" t="s">
        <v>165</v>
      </c>
      <c r="C131" s="1" t="s">
        <v>16</v>
      </c>
      <c r="D131" s="1" t="s">
        <v>59</v>
      </c>
      <c r="E131" s="1" t="s">
        <v>115</v>
      </c>
      <c r="F131" s="17" t="s">
        <v>281</v>
      </c>
      <c r="G131" s="111">
        <v>10545542</v>
      </c>
      <c r="H131" s="111">
        <f>24575-224532-550025.35-405000</f>
        <v>-1154982.35</v>
      </c>
      <c r="I131" s="107">
        <f t="shared" si="14"/>
        <v>9390559.65</v>
      </c>
      <c r="J131" s="137"/>
    </row>
    <row r="132" spans="1:10" ht="12.75">
      <c r="A132" s="7" t="s">
        <v>283</v>
      </c>
      <c r="B132" s="1" t="s">
        <v>165</v>
      </c>
      <c r="C132" s="1" t="s">
        <v>16</v>
      </c>
      <c r="D132" s="1" t="s">
        <v>59</v>
      </c>
      <c r="E132" s="1" t="s">
        <v>115</v>
      </c>
      <c r="F132" s="17" t="s">
        <v>282</v>
      </c>
      <c r="G132" s="111">
        <v>53502.1</v>
      </c>
      <c r="H132" s="111">
        <f>-200+224532+550025.35</f>
        <v>774357.35</v>
      </c>
      <c r="I132" s="107">
        <f t="shared" si="14"/>
        <v>827859.45</v>
      </c>
      <c r="J132" s="137"/>
    </row>
    <row r="133" spans="1:10" ht="12.75">
      <c r="A133" s="7" t="s">
        <v>452</v>
      </c>
      <c r="B133" s="1" t="s">
        <v>165</v>
      </c>
      <c r="C133" s="1" t="s">
        <v>16</v>
      </c>
      <c r="D133" s="1" t="s">
        <v>59</v>
      </c>
      <c r="E133" s="1" t="s">
        <v>453</v>
      </c>
      <c r="F133" s="17"/>
      <c r="G133" s="111">
        <f>G134</f>
        <v>0</v>
      </c>
      <c r="H133" s="111">
        <f>H134</f>
        <v>700000</v>
      </c>
      <c r="I133" s="107"/>
      <c r="J133" s="137"/>
    </row>
    <row r="134" spans="1:10" ht="25.5">
      <c r="A134" s="7" t="s">
        <v>487</v>
      </c>
      <c r="B134" s="1" t="s">
        <v>165</v>
      </c>
      <c r="C134" s="1" t="s">
        <v>16</v>
      </c>
      <c r="D134" s="1" t="s">
        <v>59</v>
      </c>
      <c r="E134" s="1" t="s">
        <v>488</v>
      </c>
      <c r="F134" s="17"/>
      <c r="G134" s="111">
        <f>G135</f>
        <v>0</v>
      </c>
      <c r="H134" s="111">
        <f>H135</f>
        <v>700000</v>
      </c>
      <c r="I134" s="107">
        <f t="shared" si="14"/>
        <v>700000</v>
      </c>
      <c r="J134" s="137"/>
    </row>
    <row r="135" spans="1:10" ht="12.75">
      <c r="A135" s="7" t="s">
        <v>283</v>
      </c>
      <c r="B135" s="1" t="s">
        <v>165</v>
      </c>
      <c r="C135" s="1" t="s">
        <v>16</v>
      </c>
      <c r="D135" s="1" t="s">
        <v>59</v>
      </c>
      <c r="E135" s="1" t="s">
        <v>488</v>
      </c>
      <c r="F135" s="17" t="s">
        <v>282</v>
      </c>
      <c r="G135" s="111"/>
      <c r="H135" s="111">
        <v>700000</v>
      </c>
      <c r="I135" s="107">
        <f t="shared" si="14"/>
        <v>700000</v>
      </c>
      <c r="J135" s="137"/>
    </row>
    <row r="136" spans="1:10" ht="12.75">
      <c r="A136" s="2" t="s">
        <v>124</v>
      </c>
      <c r="B136" s="1" t="s">
        <v>165</v>
      </c>
      <c r="C136" s="1" t="s">
        <v>16</v>
      </c>
      <c r="D136" s="1" t="s">
        <v>59</v>
      </c>
      <c r="E136" s="1" t="s">
        <v>125</v>
      </c>
      <c r="F136" s="17"/>
      <c r="G136" s="111">
        <f>G137</f>
        <v>34456471</v>
      </c>
      <c r="H136" s="111">
        <f>H137</f>
        <v>0</v>
      </c>
      <c r="I136" s="107">
        <f t="shared" si="14"/>
        <v>34456471</v>
      </c>
      <c r="J136" s="137"/>
    </row>
    <row r="137" spans="1:10" ht="12.75">
      <c r="A137" s="2" t="s">
        <v>328</v>
      </c>
      <c r="B137" s="1" t="s">
        <v>165</v>
      </c>
      <c r="C137" s="1" t="s">
        <v>16</v>
      </c>
      <c r="D137" s="1" t="s">
        <v>59</v>
      </c>
      <c r="E137" s="1" t="s">
        <v>327</v>
      </c>
      <c r="F137" s="17"/>
      <c r="G137" s="111">
        <f>SUM(G138:G139)</f>
        <v>34456471</v>
      </c>
      <c r="H137" s="111">
        <f>SUM(H138:H139)</f>
        <v>0</v>
      </c>
      <c r="I137" s="107">
        <f t="shared" si="14"/>
        <v>34456471</v>
      </c>
      <c r="J137" s="137"/>
    </row>
    <row r="138" spans="1:13" ht="38.25">
      <c r="A138" s="7" t="s">
        <v>280</v>
      </c>
      <c r="B138" s="1" t="s">
        <v>165</v>
      </c>
      <c r="C138" s="1" t="s">
        <v>16</v>
      </c>
      <c r="D138" s="1" t="s">
        <v>59</v>
      </c>
      <c r="E138" s="1" t="s">
        <v>327</v>
      </c>
      <c r="F138" s="17" t="s">
        <v>281</v>
      </c>
      <c r="G138" s="111">
        <v>34066232</v>
      </c>
      <c r="H138" s="111"/>
      <c r="I138" s="107">
        <f t="shared" si="14"/>
        <v>34066232</v>
      </c>
      <c r="J138" s="137"/>
      <c r="M138" s="122"/>
    </row>
    <row r="139" spans="1:13" ht="12.75">
      <c r="A139" s="15" t="s">
        <v>134</v>
      </c>
      <c r="B139" s="1" t="s">
        <v>165</v>
      </c>
      <c r="C139" s="1" t="s">
        <v>16</v>
      </c>
      <c r="D139" s="1" t="s">
        <v>59</v>
      </c>
      <c r="E139" s="1" t="s">
        <v>327</v>
      </c>
      <c r="F139" s="17" t="s">
        <v>133</v>
      </c>
      <c r="G139" s="111">
        <v>390239</v>
      </c>
      <c r="H139" s="111"/>
      <c r="I139" s="107">
        <f t="shared" si="14"/>
        <v>390239</v>
      </c>
      <c r="J139" s="137"/>
      <c r="M139" s="122"/>
    </row>
    <row r="140" spans="1:13" ht="12.75">
      <c r="A140" s="7" t="s">
        <v>421</v>
      </c>
      <c r="B140" s="61" t="s">
        <v>165</v>
      </c>
      <c r="C140" s="1" t="s">
        <v>16</v>
      </c>
      <c r="D140" s="1" t="s">
        <v>59</v>
      </c>
      <c r="E140" s="1" t="s">
        <v>42</v>
      </c>
      <c r="F140" s="17"/>
      <c r="G140" s="111">
        <f aca="true" t="shared" si="15" ref="G140:H142">G141</f>
        <v>797700</v>
      </c>
      <c r="H140" s="111">
        <f t="shared" si="15"/>
        <v>96000</v>
      </c>
      <c r="I140" s="107">
        <f t="shared" si="14"/>
        <v>893700</v>
      </c>
      <c r="J140" s="137"/>
      <c r="M140" s="122"/>
    </row>
    <row r="141" spans="1:13" ht="38.25">
      <c r="A141" s="7" t="s">
        <v>101</v>
      </c>
      <c r="B141" s="61" t="s">
        <v>165</v>
      </c>
      <c r="C141" s="1" t="s">
        <v>16</v>
      </c>
      <c r="D141" s="1" t="s">
        <v>59</v>
      </c>
      <c r="E141" s="1" t="s">
        <v>43</v>
      </c>
      <c r="F141" s="17"/>
      <c r="G141" s="111">
        <f t="shared" si="15"/>
        <v>797700</v>
      </c>
      <c r="H141" s="111">
        <f t="shared" si="15"/>
        <v>96000</v>
      </c>
      <c r="I141" s="107">
        <f t="shared" si="14"/>
        <v>893700</v>
      </c>
      <c r="J141" s="137"/>
      <c r="M141" s="122"/>
    </row>
    <row r="142" spans="1:13" ht="63.75">
      <c r="A142" s="129" t="s">
        <v>422</v>
      </c>
      <c r="B142" s="61" t="s">
        <v>165</v>
      </c>
      <c r="C142" s="1" t="s">
        <v>16</v>
      </c>
      <c r="D142" s="1" t="s">
        <v>59</v>
      </c>
      <c r="E142" s="1" t="s">
        <v>423</v>
      </c>
      <c r="F142" s="17"/>
      <c r="G142" s="111">
        <f t="shared" si="15"/>
        <v>797700</v>
      </c>
      <c r="H142" s="111">
        <f t="shared" si="15"/>
        <v>96000</v>
      </c>
      <c r="I142" s="107">
        <f t="shared" si="14"/>
        <v>893700</v>
      </c>
      <c r="J142" s="137"/>
      <c r="M142" s="122"/>
    </row>
    <row r="143" spans="1:13" ht="12.75">
      <c r="A143" s="7" t="s">
        <v>283</v>
      </c>
      <c r="B143" s="61" t="s">
        <v>165</v>
      </c>
      <c r="C143" s="1" t="s">
        <v>16</v>
      </c>
      <c r="D143" s="1" t="s">
        <v>59</v>
      </c>
      <c r="E143" s="1" t="s">
        <v>423</v>
      </c>
      <c r="F143" s="17" t="s">
        <v>282</v>
      </c>
      <c r="G143" s="111">
        <v>797700</v>
      </c>
      <c r="H143" s="111">
        <f>82000+14000</f>
        <v>96000</v>
      </c>
      <c r="I143" s="107">
        <f t="shared" si="14"/>
        <v>893700</v>
      </c>
      <c r="J143" s="137"/>
      <c r="M143" s="122"/>
    </row>
    <row r="144" spans="1:10" ht="12.75">
      <c r="A144" s="2" t="s">
        <v>147</v>
      </c>
      <c r="B144" s="1" t="s">
        <v>165</v>
      </c>
      <c r="C144" s="1" t="s">
        <v>16</v>
      </c>
      <c r="D144" s="1" t="s">
        <v>59</v>
      </c>
      <c r="E144" s="1" t="s">
        <v>148</v>
      </c>
      <c r="F144" s="17"/>
      <c r="G144" s="111">
        <f>SUM(G145+G147)</f>
        <v>429500</v>
      </c>
      <c r="H144" s="111">
        <f>SUM(H145+H147)</f>
        <v>0</v>
      </c>
      <c r="I144" s="107">
        <f t="shared" si="14"/>
        <v>429500</v>
      </c>
      <c r="J144" s="137"/>
    </row>
    <row r="145" spans="1:10" ht="51">
      <c r="A145" s="2" t="s">
        <v>357</v>
      </c>
      <c r="B145" s="1" t="s">
        <v>165</v>
      </c>
      <c r="C145" s="1" t="s">
        <v>16</v>
      </c>
      <c r="D145" s="1" t="s">
        <v>59</v>
      </c>
      <c r="E145" s="1" t="s">
        <v>212</v>
      </c>
      <c r="F145" s="17"/>
      <c r="G145" s="111">
        <f>+G146</f>
        <v>429500</v>
      </c>
      <c r="H145" s="111">
        <f>+H146</f>
        <v>0</v>
      </c>
      <c r="I145" s="107">
        <f t="shared" si="14"/>
        <v>429500</v>
      </c>
      <c r="J145" s="137"/>
    </row>
    <row r="146" spans="1:10" ht="12.75">
      <c r="A146" s="7" t="s">
        <v>283</v>
      </c>
      <c r="B146" s="1" t="s">
        <v>165</v>
      </c>
      <c r="C146" s="1" t="s">
        <v>16</v>
      </c>
      <c r="D146" s="1" t="s">
        <v>59</v>
      </c>
      <c r="E146" s="1" t="s">
        <v>212</v>
      </c>
      <c r="F146" s="17" t="s">
        <v>282</v>
      </c>
      <c r="G146" s="111">
        <v>429500</v>
      </c>
      <c r="H146" s="111"/>
      <c r="I146" s="107">
        <f t="shared" si="14"/>
        <v>429500</v>
      </c>
      <c r="J146" s="137"/>
    </row>
    <row r="147" spans="1:10" ht="12.75">
      <c r="A147" s="7"/>
      <c r="B147" s="1"/>
      <c r="C147" s="1"/>
      <c r="D147" s="1"/>
      <c r="E147" s="1"/>
      <c r="F147" s="17"/>
      <c r="G147" s="111"/>
      <c r="H147" s="111"/>
      <c r="I147" s="111"/>
      <c r="J147" s="136"/>
    </row>
    <row r="148" spans="1:10" ht="12.75">
      <c r="A148" s="4" t="s">
        <v>78</v>
      </c>
      <c r="B148" s="18" t="s">
        <v>165</v>
      </c>
      <c r="C148" s="19" t="s">
        <v>16</v>
      </c>
      <c r="D148" s="19" t="s">
        <v>55</v>
      </c>
      <c r="E148" s="19"/>
      <c r="F148" s="37"/>
      <c r="G148" s="109">
        <f>G149+G152+G158+G162+G180+G166+G173+G176</f>
        <v>172944880.68</v>
      </c>
      <c r="H148" s="109">
        <f>H149+H152+H158+H162+H180+H166+H173+H176</f>
        <v>9043648.29</v>
      </c>
      <c r="I148" s="109">
        <f>SUM(G148:H148)</f>
        <v>181988528.97</v>
      </c>
      <c r="J148" s="134"/>
    </row>
    <row r="149" spans="1:10" ht="12.75">
      <c r="A149" s="2" t="s">
        <v>72</v>
      </c>
      <c r="B149" s="1" t="s">
        <v>165</v>
      </c>
      <c r="C149" s="14" t="s">
        <v>16</v>
      </c>
      <c r="D149" s="14" t="s">
        <v>55</v>
      </c>
      <c r="E149" s="1" t="s">
        <v>73</v>
      </c>
      <c r="F149" s="37"/>
      <c r="G149" s="107">
        <f>G150</f>
        <v>0</v>
      </c>
      <c r="H149" s="107">
        <f>H150</f>
        <v>1000000</v>
      </c>
      <c r="I149" s="107">
        <f>SUM(G149:H149)</f>
        <v>1000000</v>
      </c>
      <c r="J149" s="134"/>
    </row>
    <row r="150" spans="1:10" ht="25.5">
      <c r="A150" s="2" t="s">
        <v>481</v>
      </c>
      <c r="B150" s="1" t="s">
        <v>165</v>
      </c>
      <c r="C150" s="14" t="s">
        <v>16</v>
      </c>
      <c r="D150" s="14" t="s">
        <v>55</v>
      </c>
      <c r="E150" s="1" t="s">
        <v>482</v>
      </c>
      <c r="F150" s="37"/>
      <c r="G150" s="107">
        <f>G151</f>
        <v>0</v>
      </c>
      <c r="H150" s="107">
        <f>H151</f>
        <v>1000000</v>
      </c>
      <c r="I150" s="107">
        <f>SUM(G150:H150)</f>
        <v>1000000</v>
      </c>
      <c r="J150" s="134"/>
    </row>
    <row r="151" spans="1:10" ht="12.75">
      <c r="A151" s="7" t="s">
        <v>283</v>
      </c>
      <c r="B151" s="1" t="s">
        <v>165</v>
      </c>
      <c r="C151" s="14" t="s">
        <v>16</v>
      </c>
      <c r="D151" s="14" t="s">
        <v>55</v>
      </c>
      <c r="E151" s="1" t="s">
        <v>482</v>
      </c>
      <c r="F151" s="21" t="s">
        <v>282</v>
      </c>
      <c r="G151" s="109"/>
      <c r="H151" s="107">
        <v>1000000</v>
      </c>
      <c r="I151" s="107">
        <f>SUM(G151:H151)</f>
        <v>1000000</v>
      </c>
      <c r="J151" s="134"/>
    </row>
    <row r="152" spans="1:10" ht="25.5">
      <c r="A152" s="2" t="s">
        <v>116</v>
      </c>
      <c r="B152" s="1" t="s">
        <v>165</v>
      </c>
      <c r="C152" s="1" t="s">
        <v>16</v>
      </c>
      <c r="D152" s="1" t="s">
        <v>55</v>
      </c>
      <c r="E152" s="1" t="s">
        <v>117</v>
      </c>
      <c r="F152" s="17"/>
      <c r="G152" s="107">
        <f>G153+G156</f>
        <v>25115819.630000003</v>
      </c>
      <c r="H152" s="107">
        <f>H153+H156</f>
        <v>609447.29</v>
      </c>
      <c r="I152" s="107">
        <f aca="true" t="shared" si="16" ref="I152:I187">SUM(G152:H152)</f>
        <v>25725266.92</v>
      </c>
      <c r="J152" s="137"/>
    </row>
    <row r="153" spans="1:10" ht="12.75" customHeight="1">
      <c r="A153" s="2" t="s">
        <v>68</v>
      </c>
      <c r="B153" s="1" t="s">
        <v>165</v>
      </c>
      <c r="C153" s="1" t="s">
        <v>16</v>
      </c>
      <c r="D153" s="1" t="s">
        <v>55</v>
      </c>
      <c r="E153" s="1" t="s">
        <v>118</v>
      </c>
      <c r="F153" s="17"/>
      <c r="G153" s="111">
        <f>SUM(G154:G155)</f>
        <v>25054171.630000003</v>
      </c>
      <c r="H153" s="111">
        <f>SUM(H154:H155)</f>
        <v>609447.29</v>
      </c>
      <c r="I153" s="107">
        <f t="shared" si="16"/>
        <v>25663618.92</v>
      </c>
      <c r="J153" s="137"/>
    </row>
    <row r="154" spans="1:10" ht="40.5" customHeight="1">
      <c r="A154" s="7" t="s">
        <v>280</v>
      </c>
      <c r="B154" s="1" t="s">
        <v>165</v>
      </c>
      <c r="C154" s="1" t="s">
        <v>16</v>
      </c>
      <c r="D154" s="1" t="s">
        <v>55</v>
      </c>
      <c r="E154" s="1" t="s">
        <v>118</v>
      </c>
      <c r="F154" s="17" t="s">
        <v>281</v>
      </c>
      <c r="G154" s="111">
        <v>24219305.78</v>
      </c>
      <c r="H154" s="111">
        <f>274247.29-136043.3+235000</f>
        <v>373203.99</v>
      </c>
      <c r="I154" s="107">
        <f t="shared" si="16"/>
        <v>24592509.77</v>
      </c>
      <c r="J154" s="137"/>
    </row>
    <row r="155" spans="1:12" ht="12.75">
      <c r="A155" s="7" t="s">
        <v>283</v>
      </c>
      <c r="B155" s="1" t="s">
        <v>165</v>
      </c>
      <c r="C155" s="1" t="s">
        <v>16</v>
      </c>
      <c r="D155" s="1" t="s">
        <v>55</v>
      </c>
      <c r="E155" s="1" t="s">
        <v>118</v>
      </c>
      <c r="F155" s="17" t="s">
        <v>282</v>
      </c>
      <c r="G155" s="111">
        <v>834865.85</v>
      </c>
      <c r="H155" s="111">
        <f>100+100+100000+136043.3</f>
        <v>236243.3</v>
      </c>
      <c r="I155" s="107">
        <f t="shared" si="16"/>
        <v>1071109.15</v>
      </c>
      <c r="J155" s="137"/>
      <c r="K155">
        <v>100000</v>
      </c>
      <c r="L155" s="122"/>
    </row>
    <row r="156" spans="1:10" ht="63.75">
      <c r="A156" s="64" t="s">
        <v>172</v>
      </c>
      <c r="B156" s="1" t="s">
        <v>165</v>
      </c>
      <c r="C156" s="1" t="s">
        <v>16</v>
      </c>
      <c r="D156" s="1" t="s">
        <v>55</v>
      </c>
      <c r="E156" s="1" t="s">
        <v>173</v>
      </c>
      <c r="F156" s="17"/>
      <c r="G156" s="111">
        <f>G157</f>
        <v>61648</v>
      </c>
      <c r="H156" s="111">
        <f>H157</f>
        <v>0</v>
      </c>
      <c r="I156" s="107">
        <f t="shared" si="16"/>
        <v>61648</v>
      </c>
      <c r="J156" s="137"/>
    </row>
    <row r="157" spans="1:10" ht="12.75">
      <c r="A157" s="7" t="s">
        <v>283</v>
      </c>
      <c r="B157" s="1" t="s">
        <v>165</v>
      </c>
      <c r="C157" s="1" t="s">
        <v>16</v>
      </c>
      <c r="D157" s="1" t="s">
        <v>55</v>
      </c>
      <c r="E157" s="1" t="s">
        <v>173</v>
      </c>
      <c r="F157" s="17" t="s">
        <v>282</v>
      </c>
      <c r="G157" s="111">
        <v>61648</v>
      </c>
      <c r="H157" s="111"/>
      <c r="I157" s="107">
        <f t="shared" si="16"/>
        <v>61648</v>
      </c>
      <c r="J157" s="137"/>
    </row>
    <row r="158" spans="1:10" ht="12.75">
      <c r="A158" s="2" t="s">
        <v>79</v>
      </c>
      <c r="B158" s="1" t="s">
        <v>165</v>
      </c>
      <c r="C158" s="1" t="s">
        <v>16</v>
      </c>
      <c r="D158" s="1" t="s">
        <v>55</v>
      </c>
      <c r="E158" s="1" t="s">
        <v>80</v>
      </c>
      <c r="F158" s="17"/>
      <c r="G158" s="111">
        <f>G159</f>
        <v>6284990</v>
      </c>
      <c r="H158" s="111">
        <f>H159</f>
        <v>201</v>
      </c>
      <c r="I158" s="107">
        <f t="shared" si="16"/>
        <v>6285191</v>
      </c>
      <c r="J158" s="137"/>
    </row>
    <row r="159" spans="1:10" ht="12.75" customHeight="1">
      <c r="A159" s="2" t="s">
        <v>68</v>
      </c>
      <c r="B159" s="1" t="s">
        <v>165</v>
      </c>
      <c r="C159" s="1" t="s">
        <v>16</v>
      </c>
      <c r="D159" s="1" t="s">
        <v>55</v>
      </c>
      <c r="E159" s="1" t="s">
        <v>81</v>
      </c>
      <c r="F159" s="17"/>
      <c r="G159" s="111">
        <f>SUM(G160:G161)</f>
        <v>6284990</v>
      </c>
      <c r="H159" s="111">
        <f>SUM(H160:H161)</f>
        <v>201</v>
      </c>
      <c r="I159" s="107">
        <f t="shared" si="16"/>
        <v>6285191</v>
      </c>
      <c r="J159" s="137"/>
    </row>
    <row r="160" spans="1:10" ht="38.25">
      <c r="A160" s="7" t="s">
        <v>280</v>
      </c>
      <c r="B160" s="1" t="s">
        <v>165</v>
      </c>
      <c r="C160" s="1" t="s">
        <v>16</v>
      </c>
      <c r="D160" s="1" t="s">
        <v>55</v>
      </c>
      <c r="E160" s="1" t="s">
        <v>81</v>
      </c>
      <c r="F160" s="17" t="s">
        <v>281</v>
      </c>
      <c r="G160" s="111">
        <v>6234990</v>
      </c>
      <c r="H160" s="111">
        <v>201</v>
      </c>
      <c r="I160" s="107">
        <f t="shared" si="16"/>
        <v>6235191</v>
      </c>
      <c r="J160" s="137"/>
    </row>
    <row r="161" spans="1:10" ht="12.75">
      <c r="A161" s="7" t="s">
        <v>283</v>
      </c>
      <c r="B161" s="1" t="s">
        <v>165</v>
      </c>
      <c r="C161" s="1" t="s">
        <v>16</v>
      </c>
      <c r="D161" s="1" t="s">
        <v>55</v>
      </c>
      <c r="E161" s="1" t="s">
        <v>81</v>
      </c>
      <c r="F161" s="17" t="s">
        <v>282</v>
      </c>
      <c r="G161" s="111">
        <f>50000</f>
        <v>50000</v>
      </c>
      <c r="H161" s="111"/>
      <c r="I161" s="107">
        <f t="shared" si="16"/>
        <v>50000</v>
      </c>
      <c r="J161" s="137"/>
    </row>
    <row r="162" spans="1:10" ht="12.75">
      <c r="A162" s="7" t="s">
        <v>452</v>
      </c>
      <c r="B162" s="1" t="s">
        <v>165</v>
      </c>
      <c r="C162" s="1" t="s">
        <v>16</v>
      </c>
      <c r="D162" s="1" t="s">
        <v>55</v>
      </c>
      <c r="E162" s="1" t="s">
        <v>453</v>
      </c>
      <c r="F162" s="17"/>
      <c r="G162" s="111">
        <f>G163</f>
        <v>3410000</v>
      </c>
      <c r="H162" s="111">
        <f>H163</f>
        <v>0</v>
      </c>
      <c r="I162" s="107">
        <f t="shared" si="16"/>
        <v>3410000</v>
      </c>
      <c r="J162" s="137"/>
    </row>
    <row r="163" spans="1:10" ht="12.75">
      <c r="A163" s="7" t="s">
        <v>454</v>
      </c>
      <c r="B163" s="1" t="s">
        <v>165</v>
      </c>
      <c r="C163" s="1" t="s">
        <v>16</v>
      </c>
      <c r="D163" s="1" t="s">
        <v>55</v>
      </c>
      <c r="E163" s="1" t="s">
        <v>455</v>
      </c>
      <c r="F163" s="17"/>
      <c r="G163" s="111">
        <f>G164+G165</f>
        <v>3410000</v>
      </c>
      <c r="H163" s="111">
        <f>H164+H165</f>
        <v>0</v>
      </c>
      <c r="I163" s="111">
        <f>I164+I165</f>
        <v>3410000</v>
      </c>
      <c r="J163" s="137"/>
    </row>
    <row r="164" spans="1:10" ht="12.75">
      <c r="A164" s="15" t="s">
        <v>134</v>
      </c>
      <c r="B164" s="1" t="s">
        <v>165</v>
      </c>
      <c r="C164" s="1" t="s">
        <v>16</v>
      </c>
      <c r="D164" s="1" t="s">
        <v>55</v>
      </c>
      <c r="E164" s="1" t="s">
        <v>455</v>
      </c>
      <c r="F164" s="17" t="s">
        <v>133</v>
      </c>
      <c r="G164" s="111">
        <v>2976631.05</v>
      </c>
      <c r="H164" s="111">
        <f>-596202.38-396358.67-1474487.18</f>
        <v>-2467048.23</v>
      </c>
      <c r="I164" s="107">
        <f t="shared" si="16"/>
        <v>509582.81999999983</v>
      </c>
      <c r="J164" s="137"/>
    </row>
    <row r="165" spans="1:10" ht="12.75">
      <c r="A165" s="7" t="s">
        <v>283</v>
      </c>
      <c r="B165" s="1" t="s">
        <v>165</v>
      </c>
      <c r="C165" s="1" t="s">
        <v>16</v>
      </c>
      <c r="D165" s="1" t="s">
        <v>55</v>
      </c>
      <c r="E165" s="1" t="s">
        <v>455</v>
      </c>
      <c r="F165" s="17" t="s">
        <v>282</v>
      </c>
      <c r="G165" s="111">
        <v>433368.95</v>
      </c>
      <c r="H165" s="111">
        <f>596202.38+396358.67+1474487.18</f>
        <v>2467048.23</v>
      </c>
      <c r="I165" s="107">
        <f t="shared" si="16"/>
        <v>2900417.18</v>
      </c>
      <c r="J165" s="137"/>
    </row>
    <row r="166" spans="1:10" ht="19.5" customHeight="1">
      <c r="A166" s="7" t="s">
        <v>124</v>
      </c>
      <c r="B166" s="1" t="s">
        <v>165</v>
      </c>
      <c r="C166" s="1" t="s">
        <v>16</v>
      </c>
      <c r="D166" s="1" t="s">
        <v>55</v>
      </c>
      <c r="E166" s="1" t="s">
        <v>125</v>
      </c>
      <c r="F166" s="17"/>
      <c r="G166" s="111">
        <f>G170+G167</f>
        <v>129738229</v>
      </c>
      <c r="H166" s="111">
        <f>H170+H167</f>
        <v>0</v>
      </c>
      <c r="I166" s="107">
        <f t="shared" si="16"/>
        <v>129738229</v>
      </c>
      <c r="J166" s="137"/>
    </row>
    <row r="167" spans="1:10" ht="23.25" customHeight="1">
      <c r="A167" s="7" t="s">
        <v>424</v>
      </c>
      <c r="B167" s="1" t="s">
        <v>165</v>
      </c>
      <c r="C167" s="1" t="s">
        <v>16</v>
      </c>
      <c r="D167" s="1" t="s">
        <v>55</v>
      </c>
      <c r="E167" s="1" t="s">
        <v>425</v>
      </c>
      <c r="F167" s="17"/>
      <c r="G167" s="111">
        <f>G168</f>
        <v>1950000</v>
      </c>
      <c r="H167" s="111">
        <f>H168</f>
        <v>0</v>
      </c>
      <c r="I167" s="107">
        <f t="shared" si="16"/>
        <v>1950000</v>
      </c>
      <c r="J167" s="137"/>
    </row>
    <row r="168" spans="1:10" ht="45" customHeight="1">
      <c r="A168" s="7" t="s">
        <v>426</v>
      </c>
      <c r="B168" s="1" t="s">
        <v>165</v>
      </c>
      <c r="C168" s="1" t="s">
        <v>16</v>
      </c>
      <c r="D168" s="1" t="s">
        <v>55</v>
      </c>
      <c r="E168" s="1" t="s">
        <v>427</v>
      </c>
      <c r="F168" s="17"/>
      <c r="G168" s="111">
        <f>G169</f>
        <v>1950000</v>
      </c>
      <c r="H168" s="111">
        <f>H169</f>
        <v>0</v>
      </c>
      <c r="I168" s="107">
        <f t="shared" si="16"/>
        <v>1950000</v>
      </c>
      <c r="J168" s="137"/>
    </row>
    <row r="169" spans="1:13" ht="19.5" customHeight="1">
      <c r="A169" s="7" t="s">
        <v>283</v>
      </c>
      <c r="B169" s="1" t="s">
        <v>165</v>
      </c>
      <c r="C169" s="1" t="s">
        <v>16</v>
      </c>
      <c r="D169" s="1" t="s">
        <v>55</v>
      </c>
      <c r="E169" s="1" t="s">
        <v>427</v>
      </c>
      <c r="F169" s="17" t="s">
        <v>282</v>
      </c>
      <c r="G169" s="111">
        <v>1950000</v>
      </c>
      <c r="H169" s="111"/>
      <c r="I169" s="107">
        <f t="shared" si="16"/>
        <v>1950000</v>
      </c>
      <c r="J169" s="137"/>
      <c r="M169" s="122"/>
    </row>
    <row r="170" spans="1:10" ht="12.75">
      <c r="A170" s="2" t="s">
        <v>328</v>
      </c>
      <c r="B170" s="1" t="s">
        <v>165</v>
      </c>
      <c r="C170" s="1" t="s">
        <v>16</v>
      </c>
      <c r="D170" s="1" t="s">
        <v>55</v>
      </c>
      <c r="E170" s="1" t="s">
        <v>327</v>
      </c>
      <c r="F170" s="17"/>
      <c r="G170" s="111">
        <f>SUM(G171:G172)</f>
        <v>127788229</v>
      </c>
      <c r="H170" s="111">
        <f>SUM(H171:H172)</f>
        <v>0</v>
      </c>
      <c r="I170" s="107">
        <f t="shared" si="16"/>
        <v>127788229</v>
      </c>
      <c r="J170" s="137"/>
    </row>
    <row r="171" spans="1:10" ht="38.25">
      <c r="A171" s="7" t="s">
        <v>280</v>
      </c>
      <c r="B171" s="1" t="s">
        <v>165</v>
      </c>
      <c r="C171" s="1" t="s">
        <v>16</v>
      </c>
      <c r="D171" s="1" t="s">
        <v>55</v>
      </c>
      <c r="E171" s="1" t="s">
        <v>327</v>
      </c>
      <c r="F171" s="17" t="s">
        <v>281</v>
      </c>
      <c r="G171" s="111">
        <v>124434865.41</v>
      </c>
      <c r="H171" s="111">
        <v>500000</v>
      </c>
      <c r="I171" s="107">
        <f t="shared" si="16"/>
        <v>124934865.41</v>
      </c>
      <c r="J171" s="137"/>
    </row>
    <row r="172" spans="1:10" ht="12.75">
      <c r="A172" s="15" t="s">
        <v>134</v>
      </c>
      <c r="B172" s="1" t="s">
        <v>165</v>
      </c>
      <c r="C172" s="1" t="s">
        <v>16</v>
      </c>
      <c r="D172" s="1" t="s">
        <v>55</v>
      </c>
      <c r="E172" s="1" t="s">
        <v>327</v>
      </c>
      <c r="F172" s="17" t="s">
        <v>133</v>
      </c>
      <c r="G172" s="111">
        <v>3353363.59</v>
      </c>
      <c r="H172" s="111">
        <v>-500000</v>
      </c>
      <c r="I172" s="107">
        <f t="shared" si="16"/>
        <v>2853363.59</v>
      </c>
      <c r="J172" s="137"/>
    </row>
    <row r="173" spans="1:10" ht="12.75">
      <c r="A173" s="7" t="s">
        <v>140</v>
      </c>
      <c r="B173" s="1" t="s">
        <v>165</v>
      </c>
      <c r="C173" s="1" t="s">
        <v>16</v>
      </c>
      <c r="D173" s="1" t="s">
        <v>55</v>
      </c>
      <c r="E173" s="1" t="s">
        <v>141</v>
      </c>
      <c r="F173" s="17"/>
      <c r="G173" s="111">
        <f>G174</f>
        <v>1936410</v>
      </c>
      <c r="H173" s="111">
        <f>H174</f>
        <v>0</v>
      </c>
      <c r="I173" s="107">
        <f t="shared" si="16"/>
        <v>1936410</v>
      </c>
      <c r="J173" s="137"/>
    </row>
    <row r="174" spans="1:10" ht="38.25">
      <c r="A174" s="7" t="s">
        <v>290</v>
      </c>
      <c r="B174" s="14" t="s">
        <v>165</v>
      </c>
      <c r="C174" s="14" t="s">
        <v>16</v>
      </c>
      <c r="D174" s="14" t="s">
        <v>55</v>
      </c>
      <c r="E174" s="14" t="s">
        <v>289</v>
      </c>
      <c r="F174" s="17"/>
      <c r="G174" s="111">
        <f>G175</f>
        <v>1936410</v>
      </c>
      <c r="H174" s="111">
        <f>H175</f>
        <v>0</v>
      </c>
      <c r="I174" s="107">
        <f t="shared" si="16"/>
        <v>1936410</v>
      </c>
      <c r="J174" s="137"/>
    </row>
    <row r="175" spans="1:11" ht="12.75">
      <c r="A175" s="7" t="s">
        <v>283</v>
      </c>
      <c r="B175" s="14" t="s">
        <v>165</v>
      </c>
      <c r="C175" s="14" t="s">
        <v>16</v>
      </c>
      <c r="D175" s="14" t="s">
        <v>55</v>
      </c>
      <c r="E175" s="14" t="s">
        <v>289</v>
      </c>
      <c r="F175" s="21" t="s">
        <v>282</v>
      </c>
      <c r="G175" s="111">
        <v>1936410</v>
      </c>
      <c r="H175" s="111"/>
      <c r="I175" s="107">
        <f t="shared" si="16"/>
        <v>1936410</v>
      </c>
      <c r="J175" s="137"/>
      <c r="K175" s="122"/>
    </row>
    <row r="176" spans="1:11" ht="12.75">
      <c r="A176" s="7" t="s">
        <v>421</v>
      </c>
      <c r="B176" s="61" t="s">
        <v>165</v>
      </c>
      <c r="C176" s="1" t="s">
        <v>16</v>
      </c>
      <c r="D176" s="1" t="s">
        <v>55</v>
      </c>
      <c r="E176" s="1" t="s">
        <v>42</v>
      </c>
      <c r="F176" s="17"/>
      <c r="G176" s="111">
        <f aca="true" t="shared" si="17" ref="G176:H178">G177</f>
        <v>5377300</v>
      </c>
      <c r="H176" s="111">
        <f t="shared" si="17"/>
        <v>434000</v>
      </c>
      <c r="I176" s="107">
        <f t="shared" si="16"/>
        <v>5811300</v>
      </c>
      <c r="J176" s="137"/>
      <c r="K176" s="122"/>
    </row>
    <row r="177" spans="1:11" ht="42" customHeight="1">
      <c r="A177" s="7" t="s">
        <v>101</v>
      </c>
      <c r="B177" s="61" t="s">
        <v>165</v>
      </c>
      <c r="C177" s="1" t="s">
        <v>16</v>
      </c>
      <c r="D177" s="1" t="s">
        <v>55</v>
      </c>
      <c r="E177" s="1" t="s">
        <v>43</v>
      </c>
      <c r="F177" s="17"/>
      <c r="G177" s="111">
        <f t="shared" si="17"/>
        <v>5377300</v>
      </c>
      <c r="H177" s="111">
        <f t="shared" si="17"/>
        <v>434000</v>
      </c>
      <c r="I177" s="107">
        <f t="shared" si="16"/>
        <v>5811300</v>
      </c>
      <c r="J177" s="137"/>
      <c r="K177" s="122"/>
    </row>
    <row r="178" spans="1:13" ht="70.5" customHeight="1">
      <c r="A178" s="129" t="s">
        <v>422</v>
      </c>
      <c r="B178" s="61" t="s">
        <v>165</v>
      </c>
      <c r="C178" s="1" t="s">
        <v>16</v>
      </c>
      <c r="D178" s="1" t="s">
        <v>55</v>
      </c>
      <c r="E178" s="1" t="s">
        <v>423</v>
      </c>
      <c r="F178" s="17"/>
      <c r="G178" s="111">
        <f t="shared" si="17"/>
        <v>5377300</v>
      </c>
      <c r="H178" s="111">
        <f t="shared" si="17"/>
        <v>434000</v>
      </c>
      <c r="I178" s="107">
        <f t="shared" si="16"/>
        <v>5811300</v>
      </c>
      <c r="J178" s="137"/>
      <c r="K178" s="122"/>
      <c r="M178" s="122"/>
    </row>
    <row r="179" spans="1:13" ht="15" customHeight="1">
      <c r="A179" s="7" t="s">
        <v>283</v>
      </c>
      <c r="B179" s="61" t="s">
        <v>165</v>
      </c>
      <c r="C179" s="1" t="s">
        <v>16</v>
      </c>
      <c r="D179" s="1" t="s">
        <v>55</v>
      </c>
      <c r="E179" s="1" t="s">
        <v>423</v>
      </c>
      <c r="F179" s="17" t="s">
        <v>282</v>
      </c>
      <c r="G179" s="111">
        <v>5377300</v>
      </c>
      <c r="H179" s="111">
        <f>259000+175000</f>
        <v>434000</v>
      </c>
      <c r="I179" s="107">
        <f>SUM(G178:H178)</f>
        <v>5811300</v>
      </c>
      <c r="J179" s="137"/>
      <c r="K179" s="122"/>
      <c r="M179" s="122"/>
    </row>
    <row r="180" spans="1:10" ht="12.75">
      <c r="A180" s="2" t="s">
        <v>147</v>
      </c>
      <c r="B180" s="1" t="s">
        <v>165</v>
      </c>
      <c r="C180" s="1" t="s">
        <v>16</v>
      </c>
      <c r="D180" s="1" t="s">
        <v>55</v>
      </c>
      <c r="E180" s="1" t="s">
        <v>148</v>
      </c>
      <c r="F180" s="17"/>
      <c r="G180" s="111">
        <f>SUM(G181+G186)</f>
        <v>1082132.05</v>
      </c>
      <c r="H180" s="111">
        <f>SUM(H181+H183+H186)</f>
        <v>7000000</v>
      </c>
      <c r="I180" s="107">
        <f t="shared" si="16"/>
        <v>8082132.05</v>
      </c>
      <c r="J180" s="137"/>
    </row>
    <row r="181" spans="1:10" ht="51">
      <c r="A181" s="2" t="s">
        <v>357</v>
      </c>
      <c r="B181" s="1" t="s">
        <v>165</v>
      </c>
      <c r="C181" s="1" t="s">
        <v>16</v>
      </c>
      <c r="D181" s="1" t="s">
        <v>55</v>
      </c>
      <c r="E181" s="1" t="s">
        <v>212</v>
      </c>
      <c r="F181" s="17"/>
      <c r="G181" s="111">
        <f>+G182</f>
        <v>1022132.05</v>
      </c>
      <c r="H181" s="111">
        <f>+H182</f>
        <v>0</v>
      </c>
      <c r="I181" s="107">
        <f t="shared" si="16"/>
        <v>1022132.05</v>
      </c>
      <c r="J181" s="137"/>
    </row>
    <row r="182" spans="1:10" ht="12.75">
      <c r="A182" s="7" t="s">
        <v>283</v>
      </c>
      <c r="B182" s="1" t="s">
        <v>165</v>
      </c>
      <c r="C182" s="1" t="s">
        <v>16</v>
      </c>
      <c r="D182" s="1" t="s">
        <v>55</v>
      </c>
      <c r="E182" s="1" t="s">
        <v>212</v>
      </c>
      <c r="F182" s="17" t="s">
        <v>282</v>
      </c>
      <c r="G182" s="111">
        <v>1022132.05</v>
      </c>
      <c r="H182" s="111"/>
      <c r="I182" s="107">
        <f t="shared" si="16"/>
        <v>1022132.05</v>
      </c>
      <c r="J182" s="137"/>
    </row>
    <row r="183" spans="1:10" ht="38.25">
      <c r="A183" s="7" t="s">
        <v>352</v>
      </c>
      <c r="B183" s="14" t="s">
        <v>165</v>
      </c>
      <c r="C183" s="14" t="s">
        <v>16</v>
      </c>
      <c r="D183" s="14" t="s">
        <v>55</v>
      </c>
      <c r="E183" s="14" t="s">
        <v>215</v>
      </c>
      <c r="F183" s="17"/>
      <c r="G183" s="111">
        <f>G184</f>
        <v>0</v>
      </c>
      <c r="H183" s="111">
        <f>H184</f>
        <v>7000000</v>
      </c>
      <c r="I183" s="107">
        <f t="shared" si="16"/>
        <v>7000000</v>
      </c>
      <c r="J183" s="137"/>
    </row>
    <row r="184" spans="1:10" ht="12.75">
      <c r="A184" s="7" t="s">
        <v>219</v>
      </c>
      <c r="B184" s="14" t="s">
        <v>165</v>
      </c>
      <c r="C184" s="14" t="s">
        <v>16</v>
      </c>
      <c r="D184" s="14" t="s">
        <v>55</v>
      </c>
      <c r="E184" s="14" t="s">
        <v>218</v>
      </c>
      <c r="F184" s="17"/>
      <c r="G184" s="111">
        <f>G185</f>
        <v>0</v>
      </c>
      <c r="H184" s="111">
        <f>H185</f>
        <v>7000000</v>
      </c>
      <c r="I184" s="107">
        <f t="shared" si="16"/>
        <v>7000000</v>
      </c>
      <c r="J184" s="137"/>
    </row>
    <row r="185" spans="1:10" ht="12.75">
      <c r="A185" s="7" t="s">
        <v>283</v>
      </c>
      <c r="B185" s="14" t="s">
        <v>165</v>
      </c>
      <c r="C185" s="14" t="s">
        <v>16</v>
      </c>
      <c r="D185" s="14" t="s">
        <v>55</v>
      </c>
      <c r="E185" s="14" t="s">
        <v>218</v>
      </c>
      <c r="F185" s="17" t="s">
        <v>282</v>
      </c>
      <c r="G185" s="111"/>
      <c r="H185" s="111">
        <f>86452.25+6913547.75</f>
        <v>7000000</v>
      </c>
      <c r="I185" s="107">
        <f t="shared" si="16"/>
        <v>7000000</v>
      </c>
      <c r="J185" s="137"/>
    </row>
    <row r="186" spans="1:10" ht="25.5">
      <c r="A186" s="65" t="s">
        <v>297</v>
      </c>
      <c r="B186" s="1" t="s">
        <v>165</v>
      </c>
      <c r="C186" s="1" t="s">
        <v>16</v>
      </c>
      <c r="D186" s="1" t="s">
        <v>55</v>
      </c>
      <c r="E186" s="1" t="s">
        <v>227</v>
      </c>
      <c r="F186" s="17"/>
      <c r="G186" s="111">
        <f>G187</f>
        <v>60000</v>
      </c>
      <c r="H186" s="111">
        <f>H187</f>
        <v>0</v>
      </c>
      <c r="I186" s="107">
        <f t="shared" si="16"/>
        <v>60000</v>
      </c>
      <c r="J186" s="137"/>
    </row>
    <row r="187" spans="1:10" ht="12.75">
      <c r="A187" s="7" t="s">
        <v>283</v>
      </c>
      <c r="B187" s="1" t="s">
        <v>165</v>
      </c>
      <c r="C187" s="1" t="s">
        <v>16</v>
      </c>
      <c r="D187" s="1" t="s">
        <v>55</v>
      </c>
      <c r="E187" s="1" t="s">
        <v>227</v>
      </c>
      <c r="F187" s="17" t="s">
        <v>282</v>
      </c>
      <c r="G187" s="111">
        <v>60000</v>
      </c>
      <c r="H187" s="111"/>
      <c r="I187" s="107">
        <f t="shared" si="16"/>
        <v>60000</v>
      </c>
      <c r="J187" s="137"/>
    </row>
    <row r="188" spans="1:10" ht="12.75">
      <c r="A188" s="7"/>
      <c r="B188" s="61"/>
      <c r="C188" s="1"/>
      <c r="D188" s="1"/>
      <c r="E188" s="1"/>
      <c r="F188" s="17"/>
      <c r="G188" s="111"/>
      <c r="H188" s="111"/>
      <c r="I188" s="107"/>
      <c r="J188" s="137"/>
    </row>
    <row r="189" spans="1:10" ht="12.75">
      <c r="A189" s="4" t="s">
        <v>102</v>
      </c>
      <c r="B189" s="18" t="s">
        <v>165</v>
      </c>
      <c r="C189" s="18" t="s">
        <v>16</v>
      </c>
      <c r="D189" s="18" t="s">
        <v>16</v>
      </c>
      <c r="E189" s="18"/>
      <c r="F189" s="40"/>
      <c r="G189" s="109">
        <f>+G190+G193+G201</f>
        <v>3846162</v>
      </c>
      <c r="H189" s="109">
        <f>+H190+H193+H201</f>
        <v>0</v>
      </c>
      <c r="I189" s="109">
        <f>SUM(G189:H189)</f>
        <v>3846162</v>
      </c>
      <c r="J189" s="134"/>
    </row>
    <row r="190" spans="1:10" ht="12.75">
      <c r="A190" s="2" t="s">
        <v>103</v>
      </c>
      <c r="B190" s="1" t="s">
        <v>165</v>
      </c>
      <c r="C190" s="1" t="s">
        <v>16</v>
      </c>
      <c r="D190" s="1" t="s">
        <v>16</v>
      </c>
      <c r="E190" s="1" t="s">
        <v>104</v>
      </c>
      <c r="F190" s="17"/>
      <c r="G190" s="107">
        <f>G191</f>
        <v>92000</v>
      </c>
      <c r="H190" s="107">
        <f>H191</f>
        <v>0</v>
      </c>
      <c r="I190" s="107">
        <f aca="true" t="shared" si="18" ref="I190:I204">SUM(G190:H190)</f>
        <v>92000</v>
      </c>
      <c r="J190" s="137"/>
    </row>
    <row r="191" spans="1:10" ht="12.75">
      <c r="A191" s="7" t="s">
        <v>105</v>
      </c>
      <c r="B191" s="1" t="s">
        <v>165</v>
      </c>
      <c r="C191" s="1" t="s">
        <v>16</v>
      </c>
      <c r="D191" s="1" t="s">
        <v>16</v>
      </c>
      <c r="E191" s="1" t="s">
        <v>106</v>
      </c>
      <c r="F191" s="17"/>
      <c r="G191" s="111">
        <f>SUM(G192)</f>
        <v>92000</v>
      </c>
      <c r="H191" s="111">
        <f>SUM(H192)</f>
        <v>0</v>
      </c>
      <c r="I191" s="107">
        <f t="shared" si="18"/>
        <v>92000</v>
      </c>
      <c r="J191" s="137"/>
    </row>
    <row r="192" spans="1:10" ht="12.75" customHeight="1">
      <c r="A192" s="7" t="s">
        <v>283</v>
      </c>
      <c r="B192" s="1" t="s">
        <v>165</v>
      </c>
      <c r="C192" s="1" t="s">
        <v>16</v>
      </c>
      <c r="D192" s="1" t="s">
        <v>16</v>
      </c>
      <c r="E192" s="1" t="s">
        <v>106</v>
      </c>
      <c r="F192" s="17" t="s">
        <v>282</v>
      </c>
      <c r="G192" s="111">
        <v>92000</v>
      </c>
      <c r="H192" s="111"/>
      <c r="I192" s="107">
        <f t="shared" si="18"/>
        <v>92000</v>
      </c>
      <c r="J192" s="137"/>
    </row>
    <row r="193" spans="1:10" ht="25.5">
      <c r="A193" s="7" t="s">
        <v>107</v>
      </c>
      <c r="B193" s="1" t="s">
        <v>165</v>
      </c>
      <c r="C193" s="1" t="s">
        <v>16</v>
      </c>
      <c r="D193" s="1" t="s">
        <v>16</v>
      </c>
      <c r="E193" s="1" t="s">
        <v>33</v>
      </c>
      <c r="F193" s="17"/>
      <c r="G193" s="111">
        <f>SUM(G194+G198)</f>
        <v>3404162</v>
      </c>
      <c r="H193" s="111">
        <f>SUM(H194+H198)</f>
        <v>0</v>
      </c>
      <c r="I193" s="107">
        <f t="shared" si="18"/>
        <v>3404162</v>
      </c>
      <c r="J193" s="137"/>
    </row>
    <row r="194" spans="1:10" ht="12.75">
      <c r="A194" s="2" t="s">
        <v>337</v>
      </c>
      <c r="B194" s="1" t="s">
        <v>165</v>
      </c>
      <c r="C194" s="3" t="s">
        <v>16</v>
      </c>
      <c r="D194" s="3" t="s">
        <v>16</v>
      </c>
      <c r="E194" s="3" t="s">
        <v>338</v>
      </c>
      <c r="F194" s="17"/>
      <c r="G194" s="111">
        <f>G195</f>
        <v>2238500</v>
      </c>
      <c r="H194" s="111">
        <f>H195</f>
        <v>0</v>
      </c>
      <c r="I194" s="107">
        <f t="shared" si="18"/>
        <v>2238500</v>
      </c>
      <c r="J194" s="137"/>
    </row>
    <row r="195" spans="1:10" ht="12.75">
      <c r="A195" s="2" t="s">
        <v>339</v>
      </c>
      <c r="B195" s="1" t="s">
        <v>165</v>
      </c>
      <c r="C195" s="3" t="s">
        <v>16</v>
      </c>
      <c r="D195" s="3" t="s">
        <v>16</v>
      </c>
      <c r="E195" s="3" t="s">
        <v>340</v>
      </c>
      <c r="F195" s="17"/>
      <c r="G195" s="111">
        <f>G196+G197</f>
        <v>2238500</v>
      </c>
      <c r="H195" s="111">
        <f>H196+H197</f>
        <v>0</v>
      </c>
      <c r="I195" s="107">
        <f t="shared" si="18"/>
        <v>2238500</v>
      </c>
      <c r="J195" s="137"/>
    </row>
    <row r="196" spans="1:10" ht="12.75">
      <c r="A196" s="15" t="s">
        <v>134</v>
      </c>
      <c r="B196" s="1" t="s">
        <v>165</v>
      </c>
      <c r="C196" s="3" t="s">
        <v>16</v>
      </c>
      <c r="D196" s="3" t="s">
        <v>16</v>
      </c>
      <c r="E196" s="3" t="s">
        <v>340</v>
      </c>
      <c r="F196" s="17" t="s">
        <v>133</v>
      </c>
      <c r="G196" s="111">
        <v>722978</v>
      </c>
      <c r="H196" s="111"/>
      <c r="I196" s="107">
        <f t="shared" si="18"/>
        <v>722978</v>
      </c>
      <c r="J196" s="137"/>
    </row>
    <row r="197" spans="1:10" ht="12.75">
      <c r="A197" s="7" t="s">
        <v>283</v>
      </c>
      <c r="B197" s="1" t="s">
        <v>165</v>
      </c>
      <c r="C197" s="3" t="s">
        <v>16</v>
      </c>
      <c r="D197" s="3" t="s">
        <v>16</v>
      </c>
      <c r="E197" s="3" t="s">
        <v>340</v>
      </c>
      <c r="F197" s="17" t="s">
        <v>282</v>
      </c>
      <c r="G197" s="111">
        <v>1515522</v>
      </c>
      <c r="H197" s="111"/>
      <c r="I197" s="107">
        <f t="shared" si="18"/>
        <v>1515522</v>
      </c>
      <c r="J197" s="137"/>
    </row>
    <row r="198" spans="1:10" ht="12.75" customHeight="1">
      <c r="A198" s="2" t="s">
        <v>68</v>
      </c>
      <c r="B198" s="1" t="s">
        <v>165</v>
      </c>
      <c r="C198" s="1" t="s">
        <v>16</v>
      </c>
      <c r="D198" s="1" t="s">
        <v>16</v>
      </c>
      <c r="E198" s="1" t="s">
        <v>145</v>
      </c>
      <c r="F198" s="17"/>
      <c r="G198" s="111">
        <f>SUM(G199+G200)</f>
        <v>1165662</v>
      </c>
      <c r="H198" s="111">
        <f>SUM(H199+H200)</f>
        <v>0</v>
      </c>
      <c r="I198" s="107">
        <f t="shared" si="18"/>
        <v>1165662</v>
      </c>
      <c r="J198" s="137"/>
    </row>
    <row r="199" spans="1:10" ht="38.25">
      <c r="A199" s="7" t="s">
        <v>280</v>
      </c>
      <c r="B199" s="1" t="s">
        <v>165</v>
      </c>
      <c r="C199" s="1" t="s">
        <v>16</v>
      </c>
      <c r="D199" s="1" t="s">
        <v>16</v>
      </c>
      <c r="E199" s="1" t="s">
        <v>145</v>
      </c>
      <c r="F199" s="17" t="s">
        <v>281</v>
      </c>
      <c r="G199" s="111">
        <v>1165662</v>
      </c>
      <c r="H199" s="111">
        <v>-3000</v>
      </c>
      <c r="I199" s="107">
        <f t="shared" si="18"/>
        <v>1162662</v>
      </c>
      <c r="J199" s="137"/>
    </row>
    <row r="200" spans="1:10" ht="12.75">
      <c r="A200" s="7" t="s">
        <v>283</v>
      </c>
      <c r="B200" s="1" t="s">
        <v>165</v>
      </c>
      <c r="C200" s="1" t="s">
        <v>16</v>
      </c>
      <c r="D200" s="1" t="s">
        <v>16</v>
      </c>
      <c r="E200" s="1" t="s">
        <v>145</v>
      </c>
      <c r="F200" s="17" t="s">
        <v>282</v>
      </c>
      <c r="G200" s="111"/>
      <c r="H200" s="111">
        <v>3000</v>
      </c>
      <c r="I200" s="107">
        <f t="shared" si="18"/>
        <v>3000</v>
      </c>
      <c r="J200" s="137"/>
    </row>
    <row r="201" spans="1:10" ht="12.75">
      <c r="A201" s="2" t="s">
        <v>147</v>
      </c>
      <c r="B201" s="61" t="s">
        <v>165</v>
      </c>
      <c r="C201" s="1" t="s">
        <v>16</v>
      </c>
      <c r="D201" s="1" t="s">
        <v>16</v>
      </c>
      <c r="E201" s="1" t="s">
        <v>148</v>
      </c>
      <c r="F201" s="17"/>
      <c r="G201" s="111">
        <f>+G202</f>
        <v>350000</v>
      </c>
      <c r="H201" s="111">
        <f>+H202</f>
        <v>0</v>
      </c>
      <c r="I201" s="107">
        <f t="shared" si="18"/>
        <v>350000</v>
      </c>
      <c r="J201" s="137"/>
    </row>
    <row r="202" spans="1:10" ht="38.25">
      <c r="A202" s="7" t="s">
        <v>353</v>
      </c>
      <c r="B202" s="61" t="s">
        <v>165</v>
      </c>
      <c r="C202" s="1" t="s">
        <v>16</v>
      </c>
      <c r="D202" s="1" t="s">
        <v>16</v>
      </c>
      <c r="E202" s="1" t="s">
        <v>220</v>
      </c>
      <c r="F202" s="17"/>
      <c r="G202" s="111">
        <f>SUM(G203:G204)</f>
        <v>350000</v>
      </c>
      <c r="H202" s="111">
        <f>SUM(H203:H204)</f>
        <v>0</v>
      </c>
      <c r="I202" s="107">
        <f t="shared" si="18"/>
        <v>350000</v>
      </c>
      <c r="J202" s="137"/>
    </row>
    <row r="203" spans="1:10" ht="12.75">
      <c r="A203" s="7" t="s">
        <v>283</v>
      </c>
      <c r="B203" s="61" t="s">
        <v>165</v>
      </c>
      <c r="C203" s="1" t="s">
        <v>16</v>
      </c>
      <c r="D203" s="1" t="s">
        <v>16</v>
      </c>
      <c r="E203" s="1" t="s">
        <v>220</v>
      </c>
      <c r="F203" s="17" t="s">
        <v>282</v>
      </c>
      <c r="G203" s="111">
        <v>300000</v>
      </c>
      <c r="H203" s="111"/>
      <c r="I203" s="107">
        <f t="shared" si="18"/>
        <v>300000</v>
      </c>
      <c r="J203" s="137"/>
    </row>
    <row r="204" spans="1:10" ht="12.75">
      <c r="A204" s="15" t="s">
        <v>303</v>
      </c>
      <c r="B204" s="61" t="s">
        <v>165</v>
      </c>
      <c r="C204" s="1" t="s">
        <v>16</v>
      </c>
      <c r="D204" s="1" t="s">
        <v>16</v>
      </c>
      <c r="E204" s="1" t="s">
        <v>220</v>
      </c>
      <c r="F204" s="17" t="s">
        <v>302</v>
      </c>
      <c r="G204" s="111">
        <v>50000</v>
      </c>
      <c r="H204" s="111"/>
      <c r="I204" s="107">
        <f t="shared" si="18"/>
        <v>50000</v>
      </c>
      <c r="J204" s="137"/>
    </row>
    <row r="205" spans="1:10" ht="12.75">
      <c r="A205" s="2"/>
      <c r="B205" s="53"/>
      <c r="C205" s="1"/>
      <c r="D205" s="1"/>
      <c r="E205" s="1"/>
      <c r="F205" s="17"/>
      <c r="G205" s="111"/>
      <c r="H205" s="111"/>
      <c r="I205" s="111"/>
      <c r="J205" s="136"/>
    </row>
    <row r="206" spans="1:10" ht="12.75">
      <c r="A206" s="4" t="s">
        <v>108</v>
      </c>
      <c r="B206" s="18" t="s">
        <v>165</v>
      </c>
      <c r="C206" s="19" t="s">
        <v>16</v>
      </c>
      <c r="D206" s="19" t="s">
        <v>52</v>
      </c>
      <c r="E206" s="19"/>
      <c r="F206" s="37"/>
      <c r="G206" s="109">
        <f>G207+G210</f>
        <v>10305105</v>
      </c>
      <c r="H206" s="109">
        <f>H207+H210</f>
        <v>170000</v>
      </c>
      <c r="I206" s="109">
        <f>SUM(G206:H206)</f>
        <v>10475105</v>
      </c>
      <c r="J206" s="134"/>
    </row>
    <row r="207" spans="1:10" ht="38.25">
      <c r="A207" s="7" t="s">
        <v>91</v>
      </c>
      <c r="B207" s="1" t="s">
        <v>165</v>
      </c>
      <c r="C207" s="1" t="s">
        <v>16</v>
      </c>
      <c r="D207" s="1" t="s">
        <v>52</v>
      </c>
      <c r="E207" s="1" t="s">
        <v>92</v>
      </c>
      <c r="F207" s="17"/>
      <c r="G207" s="107">
        <f>G208</f>
        <v>9675105</v>
      </c>
      <c r="H207" s="107">
        <f>H208</f>
        <v>0</v>
      </c>
      <c r="I207" s="107">
        <f aca="true" t="shared" si="19" ref="I207:I213">SUM(G207:H207)</f>
        <v>9675105</v>
      </c>
      <c r="J207" s="137"/>
    </row>
    <row r="208" spans="1:10" ht="12.75">
      <c r="A208" s="2" t="s">
        <v>94</v>
      </c>
      <c r="B208" s="1" t="s">
        <v>165</v>
      </c>
      <c r="C208" s="1" t="s">
        <v>16</v>
      </c>
      <c r="D208" s="1" t="s">
        <v>52</v>
      </c>
      <c r="E208" s="1" t="s">
        <v>95</v>
      </c>
      <c r="F208" s="17"/>
      <c r="G208" s="111">
        <f>G209</f>
        <v>9675105</v>
      </c>
      <c r="H208" s="111">
        <f>H209</f>
        <v>0</v>
      </c>
      <c r="I208" s="107">
        <f t="shared" si="19"/>
        <v>9675105</v>
      </c>
      <c r="J208" s="137"/>
    </row>
    <row r="209" spans="1:10" ht="12.75" customHeight="1">
      <c r="A209" s="15" t="s">
        <v>134</v>
      </c>
      <c r="B209" s="1" t="s">
        <v>165</v>
      </c>
      <c r="C209" s="1" t="s">
        <v>16</v>
      </c>
      <c r="D209" s="1" t="s">
        <v>52</v>
      </c>
      <c r="E209" s="1" t="s">
        <v>95</v>
      </c>
      <c r="F209" s="17" t="s">
        <v>133</v>
      </c>
      <c r="G209" s="111">
        <v>9675105</v>
      </c>
      <c r="H209" s="111"/>
      <c r="I209" s="107">
        <f t="shared" si="19"/>
        <v>9675105</v>
      </c>
      <c r="J209" s="137"/>
    </row>
    <row r="210" spans="1:10" ht="12.75">
      <c r="A210" s="2" t="s">
        <v>147</v>
      </c>
      <c r="B210" s="61" t="s">
        <v>165</v>
      </c>
      <c r="C210" s="1" t="s">
        <v>16</v>
      </c>
      <c r="D210" s="1" t="s">
        <v>52</v>
      </c>
      <c r="E210" s="1" t="s">
        <v>148</v>
      </c>
      <c r="F210" s="17"/>
      <c r="G210" s="111">
        <f>+G211</f>
        <v>630000</v>
      </c>
      <c r="H210" s="111">
        <f>+H211</f>
        <v>170000</v>
      </c>
      <c r="I210" s="107">
        <f t="shared" si="19"/>
        <v>800000</v>
      </c>
      <c r="J210" s="137"/>
    </row>
    <row r="211" spans="1:10" ht="38.25">
      <c r="A211" s="7" t="s">
        <v>353</v>
      </c>
      <c r="B211" s="61" t="s">
        <v>165</v>
      </c>
      <c r="C211" s="1" t="s">
        <v>16</v>
      </c>
      <c r="D211" s="1" t="s">
        <v>52</v>
      </c>
      <c r="E211" s="1" t="s">
        <v>220</v>
      </c>
      <c r="F211" s="17"/>
      <c r="G211" s="111">
        <f>SUM(G212:G213)</f>
        <v>630000</v>
      </c>
      <c r="H211" s="111">
        <f>SUM(H212:H213)</f>
        <v>170000</v>
      </c>
      <c r="I211" s="107">
        <f t="shared" si="19"/>
        <v>800000</v>
      </c>
      <c r="J211" s="137"/>
    </row>
    <row r="212" spans="1:12" ht="12.75">
      <c r="A212" s="7" t="s">
        <v>283</v>
      </c>
      <c r="B212" s="61" t="s">
        <v>165</v>
      </c>
      <c r="C212" s="1" t="s">
        <v>16</v>
      </c>
      <c r="D212" s="1" t="s">
        <v>52</v>
      </c>
      <c r="E212" s="1" t="s">
        <v>220</v>
      </c>
      <c r="F212" s="17" t="s">
        <v>282</v>
      </c>
      <c r="G212" s="111">
        <v>454400</v>
      </c>
      <c r="H212" s="111">
        <v>170000</v>
      </c>
      <c r="I212" s="107">
        <f t="shared" si="19"/>
        <v>624400</v>
      </c>
      <c r="J212" s="137"/>
      <c r="L212" s="122"/>
    </row>
    <row r="213" spans="1:12" ht="12.75">
      <c r="A213" s="15" t="s">
        <v>303</v>
      </c>
      <c r="B213" s="61" t="s">
        <v>165</v>
      </c>
      <c r="C213" s="1" t="s">
        <v>16</v>
      </c>
      <c r="D213" s="1" t="s">
        <v>52</v>
      </c>
      <c r="E213" s="1" t="s">
        <v>220</v>
      </c>
      <c r="F213" s="17" t="s">
        <v>302</v>
      </c>
      <c r="G213" s="111">
        <v>175600</v>
      </c>
      <c r="H213" s="111"/>
      <c r="I213" s="107">
        <f t="shared" si="19"/>
        <v>175600</v>
      </c>
      <c r="J213" s="137"/>
      <c r="L213" s="122"/>
    </row>
    <row r="214" spans="1:10" ht="12.75">
      <c r="A214" s="2"/>
      <c r="B214" s="61"/>
      <c r="C214" s="1"/>
      <c r="D214" s="1"/>
      <c r="E214" s="1"/>
      <c r="F214" s="17"/>
      <c r="G214" s="111"/>
      <c r="H214" s="111"/>
      <c r="I214" s="111"/>
      <c r="J214" s="136"/>
    </row>
    <row r="215" spans="1:10" ht="15.75">
      <c r="A215" s="34" t="s">
        <v>22</v>
      </c>
      <c r="B215" s="35" t="s">
        <v>165</v>
      </c>
      <c r="C215" s="41" t="s">
        <v>88</v>
      </c>
      <c r="D215" s="1"/>
      <c r="E215" s="1"/>
      <c r="F215" s="17"/>
      <c r="G215" s="108">
        <f>G216+G226</f>
        <v>10791000</v>
      </c>
      <c r="H215" s="108">
        <f>H216+H226</f>
        <v>0</v>
      </c>
      <c r="I215" s="108">
        <f>SUM(G215:H215)</f>
        <v>10791000</v>
      </c>
      <c r="J215" s="133"/>
    </row>
    <row r="216" spans="1:10" ht="12.75">
      <c r="A216" s="23" t="s">
        <v>64</v>
      </c>
      <c r="B216" s="18" t="s">
        <v>165</v>
      </c>
      <c r="C216" s="18" t="s">
        <v>88</v>
      </c>
      <c r="D216" s="18" t="s">
        <v>54</v>
      </c>
      <c r="E216" s="1"/>
      <c r="F216" s="17"/>
      <c r="G216" s="109">
        <f>SUM(G217+G221)</f>
        <v>8880000</v>
      </c>
      <c r="H216" s="109">
        <f>SUM(H217+H221)</f>
        <v>0</v>
      </c>
      <c r="I216" s="109">
        <f>SUM(G216:H216)</f>
        <v>8880000</v>
      </c>
      <c r="J216" s="134"/>
    </row>
    <row r="217" spans="1:10" ht="12.75">
      <c r="A217" s="7" t="s">
        <v>124</v>
      </c>
      <c r="B217" s="1" t="s">
        <v>165</v>
      </c>
      <c r="C217" s="1" t="s">
        <v>88</v>
      </c>
      <c r="D217" s="1" t="s">
        <v>54</v>
      </c>
      <c r="E217" s="1" t="s">
        <v>125</v>
      </c>
      <c r="F217" s="21"/>
      <c r="G217" s="107">
        <f aca="true" t="shared" si="20" ref="G217:H219">G218</f>
        <v>8406000</v>
      </c>
      <c r="H217" s="107">
        <f t="shared" si="20"/>
        <v>0</v>
      </c>
      <c r="I217" s="107">
        <f aca="true" t="shared" si="21" ref="I217:I224">SUM(G217:H217)</f>
        <v>8406000</v>
      </c>
      <c r="J217" s="137"/>
    </row>
    <row r="218" spans="1:10" ht="52.5" customHeight="1">
      <c r="A218" s="13" t="s">
        <v>152</v>
      </c>
      <c r="B218" s="1" t="s">
        <v>165</v>
      </c>
      <c r="C218" s="14" t="s">
        <v>88</v>
      </c>
      <c r="D218" s="14" t="s">
        <v>54</v>
      </c>
      <c r="E218" s="14" t="s">
        <v>151</v>
      </c>
      <c r="F218" s="21"/>
      <c r="G218" s="107">
        <f t="shared" si="20"/>
        <v>8406000</v>
      </c>
      <c r="H218" s="107">
        <f t="shared" si="20"/>
        <v>0</v>
      </c>
      <c r="I218" s="107">
        <f t="shared" si="21"/>
        <v>8406000</v>
      </c>
      <c r="J218" s="137"/>
    </row>
    <row r="219" spans="1:10" ht="65.25" customHeight="1">
      <c r="A219" s="13" t="s">
        <v>294</v>
      </c>
      <c r="B219" s="1" t="s">
        <v>165</v>
      </c>
      <c r="C219" s="14" t="s">
        <v>88</v>
      </c>
      <c r="D219" s="14" t="s">
        <v>54</v>
      </c>
      <c r="E219" s="14" t="s">
        <v>153</v>
      </c>
      <c r="F219" s="21"/>
      <c r="G219" s="107">
        <f t="shared" si="20"/>
        <v>8406000</v>
      </c>
      <c r="H219" s="107">
        <f t="shared" si="20"/>
        <v>0</v>
      </c>
      <c r="I219" s="107">
        <f t="shared" si="21"/>
        <v>8406000</v>
      </c>
      <c r="J219" s="137"/>
    </row>
    <row r="220" spans="1:10" ht="12.75">
      <c r="A220" s="7" t="s">
        <v>283</v>
      </c>
      <c r="B220" s="1" t="s">
        <v>165</v>
      </c>
      <c r="C220" s="14" t="s">
        <v>88</v>
      </c>
      <c r="D220" s="14" t="s">
        <v>54</v>
      </c>
      <c r="E220" s="14" t="s">
        <v>153</v>
      </c>
      <c r="F220" s="21" t="s">
        <v>282</v>
      </c>
      <c r="G220" s="107">
        <v>8406000</v>
      </c>
      <c r="H220" s="107"/>
      <c r="I220" s="107">
        <f t="shared" si="21"/>
        <v>8406000</v>
      </c>
      <c r="J220" s="137"/>
    </row>
    <row r="221" spans="1:10" ht="12.75">
      <c r="A221" s="2" t="s">
        <v>128</v>
      </c>
      <c r="B221" s="1" t="s">
        <v>165</v>
      </c>
      <c r="C221" s="1" t="s">
        <v>88</v>
      </c>
      <c r="D221" s="1" t="s">
        <v>54</v>
      </c>
      <c r="E221" s="1" t="s">
        <v>42</v>
      </c>
      <c r="F221" s="17"/>
      <c r="G221" s="111">
        <f aca="true" t="shared" si="22" ref="G221:H223">G222</f>
        <v>474000</v>
      </c>
      <c r="H221" s="111">
        <f t="shared" si="22"/>
        <v>0</v>
      </c>
      <c r="I221" s="107">
        <f t="shared" si="21"/>
        <v>474000</v>
      </c>
      <c r="J221" s="137"/>
    </row>
    <row r="222" spans="1:10" ht="38.25" customHeight="1">
      <c r="A222" s="2" t="s">
        <v>101</v>
      </c>
      <c r="B222" s="1" t="s">
        <v>165</v>
      </c>
      <c r="C222" s="1" t="s">
        <v>88</v>
      </c>
      <c r="D222" s="1" t="s">
        <v>54</v>
      </c>
      <c r="E222" s="1" t="s">
        <v>43</v>
      </c>
      <c r="F222" s="17"/>
      <c r="G222" s="111">
        <f t="shared" si="22"/>
        <v>474000</v>
      </c>
      <c r="H222" s="111">
        <f t="shared" si="22"/>
        <v>0</v>
      </c>
      <c r="I222" s="107">
        <f t="shared" si="21"/>
        <v>474000</v>
      </c>
      <c r="J222" s="137"/>
    </row>
    <row r="223" spans="1:10" ht="25.5">
      <c r="A223" s="7" t="s">
        <v>206</v>
      </c>
      <c r="B223" s="1" t="s">
        <v>165</v>
      </c>
      <c r="C223" s="1" t="s">
        <v>88</v>
      </c>
      <c r="D223" s="1" t="s">
        <v>54</v>
      </c>
      <c r="E223" s="1" t="s">
        <v>144</v>
      </c>
      <c r="F223" s="17"/>
      <c r="G223" s="111">
        <f t="shared" si="22"/>
        <v>474000</v>
      </c>
      <c r="H223" s="111">
        <f t="shared" si="22"/>
        <v>0</v>
      </c>
      <c r="I223" s="107">
        <f t="shared" si="21"/>
        <v>474000</v>
      </c>
      <c r="J223" s="137"/>
    </row>
    <row r="224" spans="1:10" ht="12.75">
      <c r="A224" s="7" t="s">
        <v>283</v>
      </c>
      <c r="B224" s="1" t="s">
        <v>165</v>
      </c>
      <c r="C224" s="1" t="s">
        <v>88</v>
      </c>
      <c r="D224" s="1" t="s">
        <v>54</v>
      </c>
      <c r="E224" s="1" t="s">
        <v>144</v>
      </c>
      <c r="F224" s="17" t="s">
        <v>282</v>
      </c>
      <c r="G224" s="111">
        <v>474000</v>
      </c>
      <c r="H224" s="111"/>
      <c r="I224" s="107">
        <f t="shared" si="21"/>
        <v>474000</v>
      </c>
      <c r="J224" s="137"/>
    </row>
    <row r="225" spans="1:10" ht="12.75">
      <c r="A225" s="102"/>
      <c r="B225" s="97"/>
      <c r="C225" s="98"/>
      <c r="D225" s="98"/>
      <c r="E225" s="98"/>
      <c r="F225" s="99"/>
      <c r="G225" s="115"/>
      <c r="H225" s="115"/>
      <c r="I225" s="115"/>
      <c r="J225" s="136"/>
    </row>
    <row r="226" spans="1:10" ht="12.75">
      <c r="A226" s="23" t="s">
        <v>256</v>
      </c>
      <c r="B226" s="18" t="s">
        <v>165</v>
      </c>
      <c r="C226" s="18" t="s">
        <v>88</v>
      </c>
      <c r="D226" s="18" t="s">
        <v>17</v>
      </c>
      <c r="E226" s="1"/>
      <c r="F226" s="17"/>
      <c r="G226" s="109">
        <f>+G227+G230</f>
        <v>1911000</v>
      </c>
      <c r="H226" s="109">
        <f>+H227+H230</f>
        <v>0</v>
      </c>
      <c r="I226" s="109">
        <f>SUM(G226:H226)</f>
        <v>1911000</v>
      </c>
      <c r="J226" s="134"/>
    </row>
    <row r="227" spans="1:10" ht="25.5">
      <c r="A227" s="7" t="s">
        <v>254</v>
      </c>
      <c r="B227" s="1" t="s">
        <v>165</v>
      </c>
      <c r="C227" s="1" t="s">
        <v>88</v>
      </c>
      <c r="D227" s="1" t="s">
        <v>17</v>
      </c>
      <c r="E227" s="1" t="s">
        <v>409</v>
      </c>
      <c r="F227" s="17"/>
      <c r="G227" s="111">
        <f>+G228</f>
        <v>59000</v>
      </c>
      <c r="H227" s="111">
        <f>+H228</f>
        <v>0</v>
      </c>
      <c r="I227" s="107">
        <f aca="true" t="shared" si="23" ref="I227:I233">SUM(G227:H227)</f>
        <v>59000</v>
      </c>
      <c r="J227" s="137"/>
    </row>
    <row r="228" spans="1:10" ht="25.5">
      <c r="A228" s="7" t="s">
        <v>255</v>
      </c>
      <c r="B228" s="1" t="s">
        <v>165</v>
      </c>
      <c r="C228" s="1" t="s">
        <v>88</v>
      </c>
      <c r="D228" s="1" t="s">
        <v>17</v>
      </c>
      <c r="E228" s="1" t="s">
        <v>409</v>
      </c>
      <c r="F228" s="17"/>
      <c r="G228" s="111">
        <f>+G229</f>
        <v>59000</v>
      </c>
      <c r="H228" s="111">
        <f>+H229</f>
        <v>0</v>
      </c>
      <c r="I228" s="107">
        <f t="shared" si="23"/>
        <v>59000</v>
      </c>
      <c r="J228" s="137"/>
    </row>
    <row r="229" spans="1:10" ht="12.75">
      <c r="A229" s="15" t="s">
        <v>134</v>
      </c>
      <c r="B229" s="1" t="s">
        <v>165</v>
      </c>
      <c r="C229" s="1" t="s">
        <v>88</v>
      </c>
      <c r="D229" s="1" t="s">
        <v>17</v>
      </c>
      <c r="E229" s="1" t="s">
        <v>409</v>
      </c>
      <c r="F229" s="17" t="s">
        <v>133</v>
      </c>
      <c r="G229" s="111">
        <v>59000</v>
      </c>
      <c r="H229" s="111"/>
      <c r="I229" s="107">
        <f t="shared" si="23"/>
        <v>59000</v>
      </c>
      <c r="J229" s="137"/>
    </row>
    <row r="230" spans="1:10" ht="12.75">
      <c r="A230" s="2" t="s">
        <v>128</v>
      </c>
      <c r="B230" s="1" t="s">
        <v>165</v>
      </c>
      <c r="C230" s="1" t="s">
        <v>88</v>
      </c>
      <c r="D230" s="1" t="s">
        <v>17</v>
      </c>
      <c r="E230" s="98" t="s">
        <v>42</v>
      </c>
      <c r="F230" s="99"/>
      <c r="G230" s="115">
        <f aca="true" t="shared" si="24" ref="G230:H232">+G231</f>
        <v>1852000</v>
      </c>
      <c r="H230" s="115">
        <f t="shared" si="24"/>
        <v>0</v>
      </c>
      <c r="I230" s="107">
        <f t="shared" si="23"/>
        <v>1852000</v>
      </c>
      <c r="J230" s="137"/>
    </row>
    <row r="231" spans="1:10" ht="51">
      <c r="A231" s="2" t="s">
        <v>292</v>
      </c>
      <c r="B231" s="1" t="s">
        <v>165</v>
      </c>
      <c r="C231" s="1" t="s">
        <v>88</v>
      </c>
      <c r="D231" s="1" t="s">
        <v>17</v>
      </c>
      <c r="E231" s="98" t="s">
        <v>45</v>
      </c>
      <c r="F231" s="99"/>
      <c r="G231" s="115">
        <f t="shared" si="24"/>
        <v>1852000</v>
      </c>
      <c r="H231" s="115">
        <f t="shared" si="24"/>
        <v>0</v>
      </c>
      <c r="I231" s="107">
        <f t="shared" si="23"/>
        <v>1852000</v>
      </c>
      <c r="J231" s="137"/>
    </row>
    <row r="232" spans="1:10" ht="25.5" customHeight="1">
      <c r="A232" s="96" t="s">
        <v>293</v>
      </c>
      <c r="B232" s="1" t="s">
        <v>165</v>
      </c>
      <c r="C232" s="1" t="s">
        <v>88</v>
      </c>
      <c r="D232" s="1" t="s">
        <v>17</v>
      </c>
      <c r="E232" s="98" t="s">
        <v>46</v>
      </c>
      <c r="F232" s="99"/>
      <c r="G232" s="115">
        <f t="shared" si="24"/>
        <v>1852000</v>
      </c>
      <c r="H232" s="115">
        <f t="shared" si="24"/>
        <v>0</v>
      </c>
      <c r="I232" s="107">
        <f t="shared" si="23"/>
        <v>1852000</v>
      </c>
      <c r="J232" s="137"/>
    </row>
    <row r="233" spans="1:13" ht="12.75">
      <c r="A233" s="15" t="s">
        <v>134</v>
      </c>
      <c r="B233" s="1" t="s">
        <v>165</v>
      </c>
      <c r="C233" s="1" t="s">
        <v>88</v>
      </c>
      <c r="D233" s="1" t="s">
        <v>17</v>
      </c>
      <c r="E233" s="98" t="s">
        <v>46</v>
      </c>
      <c r="F233" s="99" t="s">
        <v>133</v>
      </c>
      <c r="G233" s="115">
        <v>1852000</v>
      </c>
      <c r="H233" s="115"/>
      <c r="I233" s="107">
        <f t="shared" si="23"/>
        <v>1852000</v>
      </c>
      <c r="J233" s="137"/>
      <c r="M233" s="122"/>
    </row>
    <row r="234" spans="1:13" ht="12.75">
      <c r="A234" s="96"/>
      <c r="B234" s="97"/>
      <c r="C234" s="98"/>
      <c r="D234" s="98"/>
      <c r="E234" s="98"/>
      <c r="F234" s="99"/>
      <c r="G234" s="115"/>
      <c r="H234" s="115"/>
      <c r="I234" s="140"/>
      <c r="J234" s="137"/>
      <c r="M234" s="122"/>
    </row>
    <row r="235" spans="1:13" ht="15.75">
      <c r="A235" s="45" t="s">
        <v>18</v>
      </c>
      <c r="B235" s="41" t="s">
        <v>165</v>
      </c>
      <c r="C235" s="41" t="s">
        <v>58</v>
      </c>
      <c r="D235" s="98"/>
      <c r="E235" s="98"/>
      <c r="F235" s="99"/>
      <c r="G235" s="146">
        <f>SUM(G236+G241)</f>
        <v>1044000</v>
      </c>
      <c r="H235" s="146">
        <f>SUM(H236+H241)</f>
        <v>86000</v>
      </c>
      <c r="I235" s="108">
        <f aca="true" t="shared" si="25" ref="I235:I244">SUM(G235:H235)</f>
        <v>1130000</v>
      </c>
      <c r="J235" s="137"/>
      <c r="M235" s="122"/>
    </row>
    <row r="236" spans="1:13" ht="12.75">
      <c r="A236" s="33" t="s">
        <v>191</v>
      </c>
      <c r="B236" s="18" t="s">
        <v>165</v>
      </c>
      <c r="C236" s="18" t="s">
        <v>58</v>
      </c>
      <c r="D236" s="18" t="s">
        <v>59</v>
      </c>
      <c r="E236" s="18"/>
      <c r="F236" s="40"/>
      <c r="G236" s="141">
        <f aca="true" t="shared" si="26" ref="G236:H238">G237</f>
        <v>200000</v>
      </c>
      <c r="H236" s="141">
        <f t="shared" si="26"/>
        <v>0</v>
      </c>
      <c r="I236" s="109">
        <f t="shared" si="25"/>
        <v>200000</v>
      </c>
      <c r="J236" s="137"/>
      <c r="M236" s="122"/>
    </row>
    <row r="237" spans="1:13" ht="25.5">
      <c r="A237" s="2" t="s">
        <v>19</v>
      </c>
      <c r="B237" s="1" t="s">
        <v>165</v>
      </c>
      <c r="C237" s="1" t="s">
        <v>58</v>
      </c>
      <c r="D237" s="1" t="s">
        <v>59</v>
      </c>
      <c r="E237" s="1" t="s">
        <v>20</v>
      </c>
      <c r="F237" s="17"/>
      <c r="G237" s="115">
        <f t="shared" si="26"/>
        <v>200000</v>
      </c>
      <c r="H237" s="115">
        <f t="shared" si="26"/>
        <v>0</v>
      </c>
      <c r="I237" s="107">
        <f t="shared" si="25"/>
        <v>200000</v>
      </c>
      <c r="J237" s="137"/>
      <c r="M237" s="122"/>
    </row>
    <row r="238" spans="1:13" ht="25.5">
      <c r="A238" s="2" t="s">
        <v>228</v>
      </c>
      <c r="B238" s="1" t="s">
        <v>165</v>
      </c>
      <c r="C238" s="1" t="s">
        <v>58</v>
      </c>
      <c r="D238" s="1" t="s">
        <v>59</v>
      </c>
      <c r="E238" s="1" t="s">
        <v>21</v>
      </c>
      <c r="F238" s="17"/>
      <c r="G238" s="115">
        <f t="shared" si="26"/>
        <v>200000</v>
      </c>
      <c r="H238" s="115">
        <f t="shared" si="26"/>
        <v>0</v>
      </c>
      <c r="I238" s="107">
        <f t="shared" si="25"/>
        <v>200000</v>
      </c>
      <c r="J238" s="137"/>
      <c r="M238" s="122"/>
    </row>
    <row r="239" spans="1:13" ht="12.75">
      <c r="A239" s="7" t="s">
        <v>283</v>
      </c>
      <c r="B239" s="1" t="s">
        <v>165</v>
      </c>
      <c r="C239" s="1" t="s">
        <v>58</v>
      </c>
      <c r="D239" s="1" t="s">
        <v>59</v>
      </c>
      <c r="E239" s="1" t="s">
        <v>21</v>
      </c>
      <c r="F239" s="17" t="s">
        <v>282</v>
      </c>
      <c r="G239" s="115">
        <v>200000</v>
      </c>
      <c r="H239" s="115"/>
      <c r="I239" s="107">
        <f t="shared" si="25"/>
        <v>200000</v>
      </c>
      <c r="J239" s="137"/>
      <c r="M239" s="122"/>
    </row>
    <row r="240" spans="1:13" ht="12.75">
      <c r="A240" s="142"/>
      <c r="B240" s="97"/>
      <c r="C240" s="98"/>
      <c r="D240" s="98"/>
      <c r="E240" s="98"/>
      <c r="F240" s="99"/>
      <c r="G240" s="115"/>
      <c r="H240" s="115"/>
      <c r="I240" s="140"/>
      <c r="J240" s="137"/>
      <c r="M240" s="122"/>
    </row>
    <row r="241" spans="1:13" ht="12.75">
      <c r="A241" s="143" t="s">
        <v>459</v>
      </c>
      <c r="B241" s="144" t="s">
        <v>165</v>
      </c>
      <c r="C241" s="145" t="s">
        <v>58</v>
      </c>
      <c r="D241" s="145" t="s">
        <v>55</v>
      </c>
      <c r="E241" s="98"/>
      <c r="F241" s="99"/>
      <c r="G241" s="141">
        <f aca="true" t="shared" si="27" ref="G241:H243">G242</f>
        <v>844000</v>
      </c>
      <c r="H241" s="141">
        <f t="shared" si="27"/>
        <v>86000</v>
      </c>
      <c r="I241" s="109">
        <f t="shared" si="25"/>
        <v>930000</v>
      </c>
      <c r="J241" s="137"/>
      <c r="M241" s="122"/>
    </row>
    <row r="242" spans="1:13" ht="12.75">
      <c r="A242" s="7" t="s">
        <v>140</v>
      </c>
      <c r="B242" s="1" t="s">
        <v>165</v>
      </c>
      <c r="C242" s="1" t="s">
        <v>58</v>
      </c>
      <c r="D242" s="1" t="s">
        <v>55</v>
      </c>
      <c r="E242" s="1" t="s">
        <v>141</v>
      </c>
      <c r="F242" s="99"/>
      <c r="G242" s="115">
        <f t="shared" si="27"/>
        <v>844000</v>
      </c>
      <c r="H242" s="115">
        <f t="shared" si="27"/>
        <v>86000</v>
      </c>
      <c r="I242" s="107">
        <f t="shared" si="25"/>
        <v>930000</v>
      </c>
      <c r="J242" s="137"/>
      <c r="M242" s="122"/>
    </row>
    <row r="243" spans="1:13" ht="25.5">
      <c r="A243" s="142" t="s">
        <v>462</v>
      </c>
      <c r="B243" s="1" t="s">
        <v>165</v>
      </c>
      <c r="C243" s="1" t="s">
        <v>58</v>
      </c>
      <c r="D243" s="1" t="s">
        <v>55</v>
      </c>
      <c r="E243" s="1" t="s">
        <v>463</v>
      </c>
      <c r="F243" s="99"/>
      <c r="G243" s="115">
        <f t="shared" si="27"/>
        <v>844000</v>
      </c>
      <c r="H243" s="115">
        <f t="shared" si="27"/>
        <v>86000</v>
      </c>
      <c r="I243" s="107">
        <f t="shared" si="25"/>
        <v>930000</v>
      </c>
      <c r="J243" s="137"/>
      <c r="M243" s="122"/>
    </row>
    <row r="244" spans="1:13" ht="12.75">
      <c r="A244" s="7" t="s">
        <v>283</v>
      </c>
      <c r="B244" s="1" t="s">
        <v>165</v>
      </c>
      <c r="C244" s="1" t="s">
        <v>58</v>
      </c>
      <c r="D244" s="1" t="s">
        <v>55</v>
      </c>
      <c r="E244" s="1" t="s">
        <v>463</v>
      </c>
      <c r="F244" s="99" t="s">
        <v>282</v>
      </c>
      <c r="G244" s="115">
        <v>844000</v>
      </c>
      <c r="H244" s="115">
        <v>86000</v>
      </c>
      <c r="I244" s="107">
        <f t="shared" si="25"/>
        <v>930000</v>
      </c>
      <c r="J244" s="137"/>
      <c r="M244" s="122"/>
    </row>
    <row r="245" spans="1:13" ht="12.75">
      <c r="A245" s="142"/>
      <c r="B245" s="97"/>
      <c r="C245" s="98"/>
      <c r="D245" s="98"/>
      <c r="E245" s="98"/>
      <c r="F245" s="99"/>
      <c r="G245" s="115"/>
      <c r="H245" s="115"/>
      <c r="I245" s="140"/>
      <c r="J245" s="137"/>
      <c r="M245" s="122"/>
    </row>
    <row r="246" spans="1:10" ht="25.5">
      <c r="A246" s="54" t="s">
        <v>299</v>
      </c>
      <c r="B246" s="59" t="s">
        <v>300</v>
      </c>
      <c r="C246" s="55"/>
      <c r="D246" s="55"/>
      <c r="E246" s="55"/>
      <c r="F246" s="55"/>
      <c r="G246" s="113">
        <f>G247+G350+G366+G445+G493+G499+G538+G592+G586+G521+G344</f>
        <v>282899256.71000004</v>
      </c>
      <c r="H246" s="113">
        <f>H247+H350+H366+H445+H493+H499+H538+H592+H586+H521+H344</f>
        <v>66084428.54000001</v>
      </c>
      <c r="I246" s="114">
        <f aca="true" t="shared" si="28" ref="I246:I251">SUM(G246:H246)</f>
        <v>348983685.25000006</v>
      </c>
      <c r="J246" s="132"/>
    </row>
    <row r="247" spans="1:10" ht="15.75">
      <c r="A247" s="34" t="s">
        <v>90</v>
      </c>
      <c r="B247" s="35" t="s">
        <v>300</v>
      </c>
      <c r="C247" s="35" t="s">
        <v>59</v>
      </c>
      <c r="D247" s="1"/>
      <c r="E247" s="1"/>
      <c r="F247" s="1"/>
      <c r="G247" s="108">
        <f>SUM(G248+G253+G260+G285+G303+G309+G314)</f>
        <v>61185645.45999999</v>
      </c>
      <c r="H247" s="108">
        <f>SUM(H248+H253+H260+H285+H303+H309+H314)</f>
        <v>-321838.47000000003</v>
      </c>
      <c r="I247" s="108">
        <f t="shared" si="28"/>
        <v>60863806.989999995</v>
      </c>
      <c r="J247" s="133"/>
    </row>
    <row r="248" spans="1:10" ht="38.25">
      <c r="A248" s="33" t="s">
        <v>178</v>
      </c>
      <c r="B248" s="18" t="s">
        <v>300</v>
      </c>
      <c r="C248" s="18" t="s">
        <v>59</v>
      </c>
      <c r="D248" s="18" t="s">
        <v>55</v>
      </c>
      <c r="E248" s="18"/>
      <c r="F248" s="1"/>
      <c r="G248" s="109">
        <f aca="true" t="shared" si="29" ref="G248:H250">G249</f>
        <v>1785452</v>
      </c>
      <c r="H248" s="109">
        <f t="shared" si="29"/>
        <v>0</v>
      </c>
      <c r="I248" s="109">
        <f t="shared" si="28"/>
        <v>1785452</v>
      </c>
      <c r="J248" s="134"/>
    </row>
    <row r="249" spans="1:10" ht="38.25">
      <c r="A249" s="15" t="s">
        <v>61</v>
      </c>
      <c r="B249" s="1" t="s">
        <v>300</v>
      </c>
      <c r="C249" s="1" t="s">
        <v>59</v>
      </c>
      <c r="D249" s="1" t="s">
        <v>55</v>
      </c>
      <c r="E249" s="1" t="s">
        <v>92</v>
      </c>
      <c r="F249" s="1"/>
      <c r="G249" s="111">
        <f t="shared" si="29"/>
        <v>1785452</v>
      </c>
      <c r="H249" s="111">
        <f t="shared" si="29"/>
        <v>0</v>
      </c>
      <c r="I249" s="107">
        <f t="shared" si="28"/>
        <v>1785452</v>
      </c>
      <c r="J249" s="137"/>
    </row>
    <row r="250" spans="1:10" ht="12.75">
      <c r="A250" s="15" t="s">
        <v>75</v>
      </c>
      <c r="B250" s="1" t="s">
        <v>300</v>
      </c>
      <c r="C250" s="1" t="s">
        <v>59</v>
      </c>
      <c r="D250" s="1" t="s">
        <v>55</v>
      </c>
      <c r="E250" s="1" t="s">
        <v>136</v>
      </c>
      <c r="F250" s="1"/>
      <c r="G250" s="111">
        <f t="shared" si="29"/>
        <v>1785452</v>
      </c>
      <c r="H250" s="111">
        <f t="shared" si="29"/>
        <v>0</v>
      </c>
      <c r="I250" s="107">
        <f t="shared" si="28"/>
        <v>1785452</v>
      </c>
      <c r="J250" s="137"/>
    </row>
    <row r="251" spans="1:10" ht="12.75">
      <c r="A251" s="15" t="s">
        <v>134</v>
      </c>
      <c r="B251" s="1" t="s">
        <v>300</v>
      </c>
      <c r="C251" s="1" t="s">
        <v>59</v>
      </c>
      <c r="D251" s="1" t="s">
        <v>55</v>
      </c>
      <c r="E251" s="1" t="s">
        <v>136</v>
      </c>
      <c r="F251" s="17" t="s">
        <v>133</v>
      </c>
      <c r="G251" s="111">
        <v>1785452</v>
      </c>
      <c r="H251" s="111"/>
      <c r="I251" s="107">
        <f t="shared" si="28"/>
        <v>1785452</v>
      </c>
      <c r="J251" s="137"/>
    </row>
    <row r="252" spans="1:10" ht="12.75">
      <c r="A252" s="7"/>
      <c r="B252" s="1"/>
      <c r="C252" s="1"/>
      <c r="D252" s="1"/>
      <c r="E252" s="1"/>
      <c r="F252" s="17"/>
      <c r="G252" s="111"/>
      <c r="H252" s="111"/>
      <c r="I252" s="111"/>
      <c r="J252" s="136"/>
    </row>
    <row r="253" spans="1:10" ht="38.25">
      <c r="A253" s="4" t="s">
        <v>96</v>
      </c>
      <c r="B253" s="18" t="s">
        <v>300</v>
      </c>
      <c r="C253" s="18" t="s">
        <v>59</v>
      </c>
      <c r="D253" s="18" t="s">
        <v>41</v>
      </c>
      <c r="E253" s="1"/>
      <c r="F253" s="1"/>
      <c r="G253" s="109">
        <f>G254</f>
        <v>1105607</v>
      </c>
      <c r="H253" s="109">
        <f>H254</f>
        <v>0</v>
      </c>
      <c r="I253" s="109">
        <f aca="true" t="shared" si="30" ref="I253:I258">SUM(G253:H253)</f>
        <v>1105607</v>
      </c>
      <c r="J253" s="134"/>
    </row>
    <row r="254" spans="1:10" ht="38.25">
      <c r="A254" s="7" t="s">
        <v>91</v>
      </c>
      <c r="B254" s="1" t="s">
        <v>300</v>
      </c>
      <c r="C254" s="1" t="s">
        <v>59</v>
      </c>
      <c r="D254" s="1" t="s">
        <v>41</v>
      </c>
      <c r="E254" s="1" t="s">
        <v>92</v>
      </c>
      <c r="F254" s="1"/>
      <c r="G254" s="111">
        <f>G255+G257</f>
        <v>1105607</v>
      </c>
      <c r="H254" s="111">
        <f>H255+H257</f>
        <v>0</v>
      </c>
      <c r="I254" s="107">
        <f t="shared" si="30"/>
        <v>1105607</v>
      </c>
      <c r="J254" s="137"/>
    </row>
    <row r="255" spans="1:10" ht="12.75">
      <c r="A255" s="5" t="s">
        <v>94</v>
      </c>
      <c r="B255" s="1" t="s">
        <v>300</v>
      </c>
      <c r="C255" s="1" t="s">
        <v>59</v>
      </c>
      <c r="D255" s="1" t="s">
        <v>41</v>
      </c>
      <c r="E255" s="1" t="s">
        <v>95</v>
      </c>
      <c r="F255" s="1"/>
      <c r="G255" s="111">
        <f>G256</f>
        <v>70297.35</v>
      </c>
      <c r="H255" s="111">
        <f>H256</f>
        <v>0</v>
      </c>
      <c r="I255" s="107">
        <f t="shared" si="30"/>
        <v>70297.35</v>
      </c>
      <c r="J255" s="137"/>
    </row>
    <row r="256" spans="1:10" ht="12.75">
      <c r="A256" s="15" t="s">
        <v>134</v>
      </c>
      <c r="B256" s="1" t="s">
        <v>300</v>
      </c>
      <c r="C256" s="1" t="s">
        <v>59</v>
      </c>
      <c r="D256" s="1" t="s">
        <v>41</v>
      </c>
      <c r="E256" s="1" t="s">
        <v>95</v>
      </c>
      <c r="F256" s="17" t="s">
        <v>133</v>
      </c>
      <c r="G256" s="111">
        <v>70297.35</v>
      </c>
      <c r="H256" s="111"/>
      <c r="I256" s="107">
        <f t="shared" si="30"/>
        <v>70297.35</v>
      </c>
      <c r="J256" s="137"/>
    </row>
    <row r="257" spans="1:10" ht="25.5">
      <c r="A257" s="5" t="s">
        <v>76</v>
      </c>
      <c r="B257" s="1" t="s">
        <v>300</v>
      </c>
      <c r="C257" s="1" t="s">
        <v>59</v>
      </c>
      <c r="D257" s="1" t="s">
        <v>41</v>
      </c>
      <c r="E257" s="1" t="s">
        <v>137</v>
      </c>
      <c r="F257" s="17"/>
      <c r="G257" s="111">
        <f>G258</f>
        <v>1035309.65</v>
      </c>
      <c r="H257" s="111">
        <f>H258</f>
        <v>0</v>
      </c>
      <c r="I257" s="107">
        <f t="shared" si="30"/>
        <v>1035309.65</v>
      </c>
      <c r="J257" s="137"/>
    </row>
    <row r="258" spans="1:10" ht="12.75">
      <c r="A258" s="15" t="s">
        <v>134</v>
      </c>
      <c r="B258" s="1" t="s">
        <v>300</v>
      </c>
      <c r="C258" s="1" t="s">
        <v>59</v>
      </c>
      <c r="D258" s="1" t="s">
        <v>41</v>
      </c>
      <c r="E258" s="1" t="s">
        <v>137</v>
      </c>
      <c r="F258" s="17" t="s">
        <v>133</v>
      </c>
      <c r="G258" s="111">
        <v>1035309.65</v>
      </c>
      <c r="H258" s="111"/>
      <c r="I258" s="107">
        <f t="shared" si="30"/>
        <v>1035309.65</v>
      </c>
      <c r="J258" s="137"/>
    </row>
    <row r="259" spans="1:10" ht="12.75">
      <c r="A259" s="15"/>
      <c r="B259" s="1"/>
      <c r="C259" s="1"/>
      <c r="D259" s="1"/>
      <c r="E259" s="1"/>
      <c r="F259" s="17"/>
      <c r="G259" s="111"/>
      <c r="H259" s="111"/>
      <c r="I259" s="111"/>
      <c r="J259" s="136"/>
    </row>
    <row r="260" spans="1:10" ht="51">
      <c r="A260" s="33" t="s">
        <v>11</v>
      </c>
      <c r="B260" s="18" t="s">
        <v>300</v>
      </c>
      <c r="C260" s="18" t="s">
        <v>59</v>
      </c>
      <c r="D260" s="18" t="s">
        <v>54</v>
      </c>
      <c r="E260" s="1"/>
      <c r="F260" s="17"/>
      <c r="G260" s="109">
        <f>SUM(G261+G265+G281)</f>
        <v>28651580.29</v>
      </c>
      <c r="H260" s="109">
        <f>SUM(H261+H265+H281)</f>
        <v>12578.6</v>
      </c>
      <c r="I260" s="109">
        <f>SUM(G260:H260)</f>
        <v>28664158.89</v>
      </c>
      <c r="J260" s="134"/>
    </row>
    <row r="261" spans="1:10" ht="38.25">
      <c r="A261" s="15" t="s">
        <v>61</v>
      </c>
      <c r="B261" s="1" t="s">
        <v>300</v>
      </c>
      <c r="C261" s="1" t="s">
        <v>59</v>
      </c>
      <c r="D261" s="1" t="s">
        <v>54</v>
      </c>
      <c r="E261" s="1" t="s">
        <v>92</v>
      </c>
      <c r="F261" s="17"/>
      <c r="G261" s="111">
        <f>G262</f>
        <v>25959380.29</v>
      </c>
      <c r="H261" s="111">
        <f>H262</f>
        <v>12578.6</v>
      </c>
      <c r="I261" s="107">
        <f aca="true" t="shared" si="31" ref="I261:I278">SUM(G261:H261)</f>
        <v>25971958.89</v>
      </c>
      <c r="J261" s="137"/>
    </row>
    <row r="262" spans="1:10" ht="12.75">
      <c r="A262" s="15" t="s">
        <v>94</v>
      </c>
      <c r="B262" s="1" t="s">
        <v>300</v>
      </c>
      <c r="C262" s="1" t="s">
        <v>59</v>
      </c>
      <c r="D262" s="1" t="s">
        <v>54</v>
      </c>
      <c r="E262" s="1" t="s">
        <v>95</v>
      </c>
      <c r="F262" s="17"/>
      <c r="G262" s="111">
        <f>SUM(G263:G264)</f>
        <v>25959380.29</v>
      </c>
      <c r="H262" s="111">
        <f>SUM(H263:H264)</f>
        <v>12578.6</v>
      </c>
      <c r="I262" s="107">
        <f t="shared" si="31"/>
        <v>25971958.89</v>
      </c>
      <c r="J262" s="137"/>
    </row>
    <row r="263" spans="1:12" ht="12.75">
      <c r="A263" s="15" t="s">
        <v>66</v>
      </c>
      <c r="B263" s="1" t="s">
        <v>300</v>
      </c>
      <c r="C263" s="1" t="s">
        <v>59</v>
      </c>
      <c r="D263" s="1" t="s">
        <v>54</v>
      </c>
      <c r="E263" s="1" t="s">
        <v>95</v>
      </c>
      <c r="F263" s="17" t="s">
        <v>36</v>
      </c>
      <c r="G263" s="111">
        <v>297321.29</v>
      </c>
      <c r="H263" s="111">
        <v>9488.6</v>
      </c>
      <c r="I263" s="107">
        <f t="shared" si="31"/>
        <v>306809.88999999996</v>
      </c>
      <c r="J263" s="137"/>
      <c r="K263">
        <v>9488.6</v>
      </c>
      <c r="L263" s="123"/>
    </row>
    <row r="264" spans="1:10" ht="12.75">
      <c r="A264" s="15" t="s">
        <v>134</v>
      </c>
      <c r="B264" s="1" t="s">
        <v>300</v>
      </c>
      <c r="C264" s="1" t="s">
        <v>59</v>
      </c>
      <c r="D264" s="1" t="s">
        <v>54</v>
      </c>
      <c r="E264" s="1" t="s">
        <v>95</v>
      </c>
      <c r="F264" s="17" t="s">
        <v>133</v>
      </c>
      <c r="G264" s="111">
        <v>25662059</v>
      </c>
      <c r="H264" s="111">
        <v>3090</v>
      </c>
      <c r="I264" s="107">
        <f t="shared" si="31"/>
        <v>25665149</v>
      </c>
      <c r="J264" s="137"/>
    </row>
    <row r="265" spans="1:10" ht="12.75">
      <c r="A265" s="15" t="s">
        <v>128</v>
      </c>
      <c r="B265" s="1" t="s">
        <v>300</v>
      </c>
      <c r="C265" s="1" t="s">
        <v>59</v>
      </c>
      <c r="D265" s="1" t="s">
        <v>54</v>
      </c>
      <c r="E265" s="1" t="s">
        <v>42</v>
      </c>
      <c r="F265" s="17"/>
      <c r="G265" s="111">
        <f>SUM(G266+G277)</f>
        <v>2383600</v>
      </c>
      <c r="H265" s="111">
        <f>SUM(H266+H277)</f>
        <v>0</v>
      </c>
      <c r="I265" s="107">
        <f t="shared" si="31"/>
        <v>2383600</v>
      </c>
      <c r="J265" s="137"/>
    </row>
    <row r="266" spans="1:10" ht="51.75" customHeight="1">
      <c r="A266" s="15" t="s">
        <v>65</v>
      </c>
      <c r="B266" s="1" t="s">
        <v>300</v>
      </c>
      <c r="C266" s="1" t="s">
        <v>59</v>
      </c>
      <c r="D266" s="1" t="s">
        <v>54</v>
      </c>
      <c r="E266" s="1" t="s">
        <v>45</v>
      </c>
      <c r="F266" s="17"/>
      <c r="G266" s="111">
        <f>G267+G269+G271+G273+G275</f>
        <v>2184400</v>
      </c>
      <c r="H266" s="111">
        <f>H267+H269+H271+H273+H275</f>
        <v>0</v>
      </c>
      <c r="I266" s="107">
        <f t="shared" si="31"/>
        <v>2184400</v>
      </c>
      <c r="J266" s="137"/>
    </row>
    <row r="267" spans="1:10" ht="38.25">
      <c r="A267" s="15" t="s">
        <v>100</v>
      </c>
      <c r="B267" s="1" t="s">
        <v>300</v>
      </c>
      <c r="C267" s="1" t="s">
        <v>59</v>
      </c>
      <c r="D267" s="1" t="s">
        <v>54</v>
      </c>
      <c r="E267" s="1" t="s">
        <v>48</v>
      </c>
      <c r="F267" s="17"/>
      <c r="G267" s="111">
        <f>SUM(G268)</f>
        <v>1234400</v>
      </c>
      <c r="H267" s="111">
        <f>SUM(H268)</f>
        <v>0</v>
      </c>
      <c r="I267" s="107">
        <f t="shared" si="31"/>
        <v>1234400</v>
      </c>
      <c r="J267" s="137"/>
    </row>
    <row r="268" spans="1:10" ht="12.75" customHeight="1">
      <c r="A268" s="15" t="s">
        <v>134</v>
      </c>
      <c r="B268" s="1" t="s">
        <v>300</v>
      </c>
      <c r="C268" s="1" t="s">
        <v>59</v>
      </c>
      <c r="D268" s="1" t="s">
        <v>54</v>
      </c>
      <c r="E268" s="1" t="s">
        <v>48</v>
      </c>
      <c r="F268" s="17" t="s">
        <v>133</v>
      </c>
      <c r="G268" s="111">
        <v>1234400</v>
      </c>
      <c r="H268" s="111"/>
      <c r="I268" s="107">
        <f t="shared" si="31"/>
        <v>1234400</v>
      </c>
      <c r="J268" s="137"/>
    </row>
    <row r="269" spans="1:10" ht="25.5">
      <c r="A269" s="2" t="s">
        <v>291</v>
      </c>
      <c r="B269" s="1" t="s">
        <v>300</v>
      </c>
      <c r="C269" s="1" t="s">
        <v>59</v>
      </c>
      <c r="D269" s="1" t="s">
        <v>54</v>
      </c>
      <c r="E269" s="1" t="s">
        <v>49</v>
      </c>
      <c r="F269" s="17"/>
      <c r="G269" s="111">
        <f>G270</f>
        <v>900000</v>
      </c>
      <c r="H269" s="111">
        <f>H270</f>
        <v>0</v>
      </c>
      <c r="I269" s="107">
        <f t="shared" si="31"/>
        <v>900000</v>
      </c>
      <c r="J269" s="137"/>
    </row>
    <row r="270" spans="1:10" ht="12.75" customHeight="1">
      <c r="A270" s="15" t="s">
        <v>131</v>
      </c>
      <c r="B270" s="1" t="s">
        <v>300</v>
      </c>
      <c r="C270" s="1" t="s">
        <v>59</v>
      </c>
      <c r="D270" s="1" t="s">
        <v>54</v>
      </c>
      <c r="E270" s="1" t="s">
        <v>49</v>
      </c>
      <c r="F270" s="17" t="s">
        <v>132</v>
      </c>
      <c r="G270" s="111">
        <v>900000</v>
      </c>
      <c r="H270" s="111"/>
      <c r="I270" s="107">
        <f t="shared" si="31"/>
        <v>900000</v>
      </c>
      <c r="J270" s="137"/>
    </row>
    <row r="271" spans="1:10" ht="51">
      <c r="A271" s="15" t="s">
        <v>197</v>
      </c>
      <c r="B271" s="1" t="s">
        <v>300</v>
      </c>
      <c r="C271" s="1" t="s">
        <v>59</v>
      </c>
      <c r="D271" s="1" t="s">
        <v>54</v>
      </c>
      <c r="E271" s="1" t="s">
        <v>50</v>
      </c>
      <c r="F271" s="17"/>
      <c r="G271" s="111">
        <f>SUM(G272)</f>
        <v>25000</v>
      </c>
      <c r="H271" s="111">
        <f>SUM(H272)</f>
        <v>0</v>
      </c>
      <c r="I271" s="107">
        <f t="shared" si="31"/>
        <v>25000</v>
      </c>
      <c r="J271" s="137"/>
    </row>
    <row r="272" spans="1:10" ht="12.75" customHeight="1">
      <c r="A272" s="15" t="s">
        <v>134</v>
      </c>
      <c r="B272" s="1" t="s">
        <v>300</v>
      </c>
      <c r="C272" s="1" t="s">
        <v>59</v>
      </c>
      <c r="D272" s="1" t="s">
        <v>54</v>
      </c>
      <c r="E272" s="1" t="s">
        <v>50</v>
      </c>
      <c r="F272" s="17" t="s">
        <v>133</v>
      </c>
      <c r="G272" s="111">
        <v>25000</v>
      </c>
      <c r="H272" s="111"/>
      <c r="I272" s="107">
        <f t="shared" si="31"/>
        <v>25000</v>
      </c>
      <c r="J272" s="137"/>
    </row>
    <row r="273" spans="1:10" ht="25.5">
      <c r="A273" s="15" t="s">
        <v>295</v>
      </c>
      <c r="B273" s="1" t="s">
        <v>300</v>
      </c>
      <c r="C273" s="1" t="s">
        <v>59</v>
      </c>
      <c r="D273" s="1" t="s">
        <v>54</v>
      </c>
      <c r="E273" s="1" t="s">
        <v>296</v>
      </c>
      <c r="F273" s="17"/>
      <c r="G273" s="111">
        <f>+G274</f>
        <v>25000</v>
      </c>
      <c r="H273" s="111">
        <f>+H274</f>
        <v>0</v>
      </c>
      <c r="I273" s="107">
        <f t="shared" si="31"/>
        <v>25000</v>
      </c>
      <c r="J273" s="137"/>
    </row>
    <row r="274" spans="1:10" ht="12.75" customHeight="1">
      <c r="A274" s="15" t="s">
        <v>134</v>
      </c>
      <c r="B274" s="1" t="s">
        <v>300</v>
      </c>
      <c r="C274" s="1" t="s">
        <v>59</v>
      </c>
      <c r="D274" s="1" t="s">
        <v>54</v>
      </c>
      <c r="E274" s="1" t="s">
        <v>296</v>
      </c>
      <c r="F274" s="17" t="s">
        <v>133</v>
      </c>
      <c r="G274" s="111">
        <v>25000</v>
      </c>
      <c r="H274" s="111"/>
      <c r="I274" s="107">
        <f t="shared" si="31"/>
        <v>25000</v>
      </c>
      <c r="J274" s="137"/>
    </row>
    <row r="275" spans="1:10" ht="41.25" customHeight="1">
      <c r="A275" s="2" t="s">
        <v>341</v>
      </c>
      <c r="B275" s="1" t="s">
        <v>300</v>
      </c>
      <c r="C275" s="3" t="s">
        <v>59</v>
      </c>
      <c r="D275" s="3" t="s">
        <v>54</v>
      </c>
      <c r="E275" s="3" t="s">
        <v>342</v>
      </c>
      <c r="F275" s="17"/>
      <c r="G275" s="111">
        <f>G276</f>
        <v>0</v>
      </c>
      <c r="H275" s="111">
        <f>H276</f>
        <v>0</v>
      </c>
      <c r="I275" s="107">
        <f t="shared" si="31"/>
        <v>0</v>
      </c>
      <c r="J275" s="137"/>
    </row>
    <row r="276" spans="1:13" ht="12.75" customHeight="1">
      <c r="A276" s="15" t="s">
        <v>134</v>
      </c>
      <c r="B276" s="1" t="s">
        <v>300</v>
      </c>
      <c r="C276" s="3" t="s">
        <v>59</v>
      </c>
      <c r="D276" s="3" t="s">
        <v>54</v>
      </c>
      <c r="E276" s="3" t="s">
        <v>342</v>
      </c>
      <c r="F276" s="17" t="s">
        <v>133</v>
      </c>
      <c r="G276" s="111">
        <v>0</v>
      </c>
      <c r="H276" s="111"/>
      <c r="I276" s="107">
        <f t="shared" si="31"/>
        <v>0</v>
      </c>
      <c r="J276" s="137"/>
      <c r="M276" s="122"/>
    </row>
    <row r="277" spans="1:10" ht="54" customHeight="1">
      <c r="A277" s="119" t="s">
        <v>375</v>
      </c>
      <c r="B277" s="1" t="s">
        <v>300</v>
      </c>
      <c r="C277" s="3" t="s">
        <v>59</v>
      </c>
      <c r="D277" s="3" t="s">
        <v>54</v>
      </c>
      <c r="E277" s="3" t="s">
        <v>374</v>
      </c>
      <c r="F277" s="17"/>
      <c r="G277" s="111">
        <f>G278</f>
        <v>199200</v>
      </c>
      <c r="H277" s="111">
        <f>H278</f>
        <v>0</v>
      </c>
      <c r="I277" s="107">
        <f t="shared" si="31"/>
        <v>199200</v>
      </c>
      <c r="J277" s="137"/>
    </row>
    <row r="278" spans="1:10" ht="42.75" customHeight="1">
      <c r="A278" s="119" t="s">
        <v>376</v>
      </c>
      <c r="B278" s="1" t="s">
        <v>300</v>
      </c>
      <c r="C278" s="3" t="s">
        <v>59</v>
      </c>
      <c r="D278" s="3" t="s">
        <v>54</v>
      </c>
      <c r="E278" s="3" t="s">
        <v>377</v>
      </c>
      <c r="F278" s="17"/>
      <c r="G278" s="111">
        <f>G279</f>
        <v>199200</v>
      </c>
      <c r="H278" s="111">
        <f>H279</f>
        <v>0</v>
      </c>
      <c r="I278" s="107">
        <f t="shared" si="31"/>
        <v>199200</v>
      </c>
      <c r="J278" s="137"/>
    </row>
    <row r="279" spans="1:10" ht="12.75" customHeight="1">
      <c r="A279" s="15" t="s">
        <v>134</v>
      </c>
      <c r="B279" s="1" t="s">
        <v>300</v>
      </c>
      <c r="C279" s="3" t="s">
        <v>59</v>
      </c>
      <c r="D279" s="3" t="s">
        <v>54</v>
      </c>
      <c r="E279" s="3" t="s">
        <v>377</v>
      </c>
      <c r="F279" s="17" t="s">
        <v>133</v>
      </c>
      <c r="G279" s="111">
        <v>199200</v>
      </c>
      <c r="H279" s="111"/>
      <c r="I279" s="107">
        <f>SUM(G279:H279)</f>
        <v>199200</v>
      </c>
      <c r="J279" s="137"/>
    </row>
    <row r="280" spans="1:10" ht="12.75" customHeight="1">
      <c r="A280" s="15"/>
      <c r="B280" s="1"/>
      <c r="C280" s="1"/>
      <c r="D280" s="1"/>
      <c r="E280" s="1"/>
      <c r="F280" s="17"/>
      <c r="G280" s="111"/>
      <c r="H280" s="111"/>
      <c r="I280" s="111"/>
      <c r="J280" s="136"/>
    </row>
    <row r="281" spans="1:10" ht="12.75" customHeight="1">
      <c r="A281" s="5" t="s">
        <v>140</v>
      </c>
      <c r="B281" s="1" t="s">
        <v>300</v>
      </c>
      <c r="C281" s="1" t="s">
        <v>59</v>
      </c>
      <c r="D281" s="1" t="s">
        <v>54</v>
      </c>
      <c r="E281" s="1" t="s">
        <v>141</v>
      </c>
      <c r="F281" s="17"/>
      <c r="G281" s="111">
        <f>G282</f>
        <v>308600</v>
      </c>
      <c r="H281" s="111">
        <f>H282</f>
        <v>0</v>
      </c>
      <c r="I281" s="107">
        <f>SUM(G281:H281)</f>
        <v>308600</v>
      </c>
      <c r="J281" s="137"/>
    </row>
    <row r="282" spans="1:10" ht="39" customHeight="1">
      <c r="A282" s="2" t="s">
        <v>371</v>
      </c>
      <c r="B282" s="1" t="s">
        <v>300</v>
      </c>
      <c r="C282" s="1" t="s">
        <v>59</v>
      </c>
      <c r="D282" s="1" t="s">
        <v>54</v>
      </c>
      <c r="E282" s="1" t="s">
        <v>372</v>
      </c>
      <c r="F282" s="17"/>
      <c r="G282" s="111">
        <f>G283</f>
        <v>308600</v>
      </c>
      <c r="H282" s="111">
        <f>H283</f>
        <v>0</v>
      </c>
      <c r="I282" s="107">
        <f>SUM(G282:H282)</f>
        <v>308600</v>
      </c>
      <c r="J282" s="137"/>
    </row>
    <row r="283" spans="1:10" ht="12.75" customHeight="1">
      <c r="A283" s="15" t="s">
        <v>134</v>
      </c>
      <c r="B283" s="1" t="s">
        <v>300</v>
      </c>
      <c r="C283" s="1" t="s">
        <v>59</v>
      </c>
      <c r="D283" s="1" t="s">
        <v>54</v>
      </c>
      <c r="E283" s="1" t="s">
        <v>372</v>
      </c>
      <c r="F283" s="17" t="s">
        <v>133</v>
      </c>
      <c r="G283" s="111">
        <v>308600</v>
      </c>
      <c r="H283" s="111"/>
      <c r="I283" s="107">
        <f>SUM(G283:H283)</f>
        <v>308600</v>
      </c>
      <c r="J283" s="137"/>
    </row>
    <row r="284" spans="1:10" ht="12.75" customHeight="1">
      <c r="A284" s="15"/>
      <c r="B284" s="1"/>
      <c r="C284" s="1"/>
      <c r="D284" s="1"/>
      <c r="E284" s="1"/>
      <c r="F284" s="17"/>
      <c r="G284" s="111"/>
      <c r="H284" s="111"/>
      <c r="I284" s="111"/>
      <c r="J284" s="136"/>
    </row>
    <row r="285" spans="1:10" ht="38.25">
      <c r="A285" s="23" t="s">
        <v>97</v>
      </c>
      <c r="B285" s="18" t="s">
        <v>300</v>
      </c>
      <c r="C285" s="18" t="s">
        <v>59</v>
      </c>
      <c r="D285" s="18" t="s">
        <v>17</v>
      </c>
      <c r="E285" s="1"/>
      <c r="F285" s="17"/>
      <c r="G285" s="109">
        <f>G286+G290</f>
        <v>12374024</v>
      </c>
      <c r="H285" s="109">
        <f>H286+H290</f>
        <v>338</v>
      </c>
      <c r="I285" s="109">
        <f>SUM(G285:H285)</f>
        <v>12374362</v>
      </c>
      <c r="J285" s="134"/>
    </row>
    <row r="286" spans="1:10" ht="38.25">
      <c r="A286" s="7" t="s">
        <v>91</v>
      </c>
      <c r="B286" s="1" t="s">
        <v>300</v>
      </c>
      <c r="C286" s="1" t="s">
        <v>59</v>
      </c>
      <c r="D286" s="1" t="s">
        <v>17</v>
      </c>
      <c r="E286" s="1" t="s">
        <v>92</v>
      </c>
      <c r="F286" s="17"/>
      <c r="G286" s="111">
        <f>G287</f>
        <v>9016424</v>
      </c>
      <c r="H286" s="111">
        <f>H287</f>
        <v>338</v>
      </c>
      <c r="I286" s="107">
        <f aca="true" t="shared" si="32" ref="I286:I301">SUM(G286:H286)</f>
        <v>9016762</v>
      </c>
      <c r="J286" s="137"/>
    </row>
    <row r="287" spans="1:10" ht="12.75">
      <c r="A287" s="2" t="s">
        <v>94</v>
      </c>
      <c r="B287" s="1" t="s">
        <v>300</v>
      </c>
      <c r="C287" s="1" t="s">
        <v>59</v>
      </c>
      <c r="D287" s="1" t="s">
        <v>17</v>
      </c>
      <c r="E287" s="1" t="s">
        <v>95</v>
      </c>
      <c r="F287" s="17"/>
      <c r="G287" s="111">
        <f>SUM(G288:G289)</f>
        <v>9016424</v>
      </c>
      <c r="H287" s="111">
        <f>SUM(H288:H289)</f>
        <v>338</v>
      </c>
      <c r="I287" s="107">
        <f t="shared" si="32"/>
        <v>9016762</v>
      </c>
      <c r="J287" s="137"/>
    </row>
    <row r="288" spans="1:10" ht="12.75" customHeight="1">
      <c r="A288" s="15" t="s">
        <v>134</v>
      </c>
      <c r="B288" s="1" t="s">
        <v>300</v>
      </c>
      <c r="C288" s="1" t="s">
        <v>59</v>
      </c>
      <c r="D288" s="1" t="s">
        <v>17</v>
      </c>
      <c r="E288" s="1" t="s">
        <v>95</v>
      </c>
      <c r="F288" s="17" t="s">
        <v>133</v>
      </c>
      <c r="G288" s="111">
        <v>7985618</v>
      </c>
      <c r="H288" s="111">
        <v>338</v>
      </c>
      <c r="I288" s="107">
        <f t="shared" si="32"/>
        <v>7985956</v>
      </c>
      <c r="J288" s="137"/>
    </row>
    <row r="289" spans="1:10" ht="27.75" customHeight="1">
      <c r="A289" s="15" t="s">
        <v>314</v>
      </c>
      <c r="B289" s="1" t="s">
        <v>300</v>
      </c>
      <c r="C289" s="1" t="s">
        <v>59</v>
      </c>
      <c r="D289" s="1" t="s">
        <v>17</v>
      </c>
      <c r="E289" s="1" t="s">
        <v>95</v>
      </c>
      <c r="F289" s="17" t="s">
        <v>315</v>
      </c>
      <c r="G289" s="111">
        <f>1680406-649600</f>
        <v>1030806</v>
      </c>
      <c r="H289" s="111"/>
      <c r="I289" s="107">
        <f t="shared" si="32"/>
        <v>1030806</v>
      </c>
      <c r="J289" s="137"/>
    </row>
    <row r="290" spans="1:10" ht="15" customHeight="1">
      <c r="A290" s="15" t="s">
        <v>128</v>
      </c>
      <c r="B290" s="1" t="s">
        <v>300</v>
      </c>
      <c r="C290" s="1" t="s">
        <v>59</v>
      </c>
      <c r="D290" s="1" t="s">
        <v>17</v>
      </c>
      <c r="E290" s="1" t="s">
        <v>42</v>
      </c>
      <c r="F290" s="17"/>
      <c r="G290" s="111">
        <f>G294+G291</f>
        <v>3357600</v>
      </c>
      <c r="H290" s="111">
        <f>H294+H291</f>
        <v>0</v>
      </c>
      <c r="I290" s="107">
        <f t="shared" si="32"/>
        <v>3357600</v>
      </c>
      <c r="J290" s="137"/>
    </row>
    <row r="291" spans="1:10" ht="43.5" customHeight="1">
      <c r="A291" s="7" t="s">
        <v>101</v>
      </c>
      <c r="B291" s="61" t="s">
        <v>300</v>
      </c>
      <c r="C291" s="1" t="s">
        <v>59</v>
      </c>
      <c r="D291" s="1" t="s">
        <v>17</v>
      </c>
      <c r="E291" s="1" t="s">
        <v>43</v>
      </c>
      <c r="F291" s="17"/>
      <c r="G291" s="111">
        <f>G292</f>
        <v>649600</v>
      </c>
      <c r="H291" s="111">
        <f>H292</f>
        <v>0</v>
      </c>
      <c r="I291" s="107">
        <f t="shared" si="32"/>
        <v>649600</v>
      </c>
      <c r="J291" s="137"/>
    </row>
    <row r="292" spans="1:10" ht="29.25" customHeight="1">
      <c r="A292" s="125" t="s">
        <v>410</v>
      </c>
      <c r="B292" s="61" t="s">
        <v>300</v>
      </c>
      <c r="C292" s="1" t="s">
        <v>59</v>
      </c>
      <c r="D292" s="1" t="s">
        <v>17</v>
      </c>
      <c r="E292" s="1" t="s">
        <v>411</v>
      </c>
      <c r="F292" s="17"/>
      <c r="G292" s="111">
        <f>G293</f>
        <v>649600</v>
      </c>
      <c r="H292" s="111">
        <f>H293</f>
        <v>0</v>
      </c>
      <c r="I292" s="107">
        <f t="shared" si="32"/>
        <v>649600</v>
      </c>
      <c r="J292" s="137"/>
    </row>
    <row r="293" spans="1:12" ht="17.25" customHeight="1">
      <c r="A293" s="125" t="s">
        <v>412</v>
      </c>
      <c r="B293" s="61" t="s">
        <v>300</v>
      </c>
      <c r="C293" s="1" t="s">
        <v>59</v>
      </c>
      <c r="D293" s="1" t="s">
        <v>17</v>
      </c>
      <c r="E293" s="1" t="s">
        <v>411</v>
      </c>
      <c r="F293" s="17" t="s">
        <v>407</v>
      </c>
      <c r="G293" s="111">
        <v>649600</v>
      </c>
      <c r="H293" s="111"/>
      <c r="I293" s="107">
        <f t="shared" si="32"/>
        <v>649600</v>
      </c>
      <c r="J293" s="137"/>
      <c r="L293" s="122"/>
    </row>
    <row r="294" spans="1:10" ht="51.75" customHeight="1">
      <c r="A294" s="119" t="s">
        <v>375</v>
      </c>
      <c r="B294" s="1" t="s">
        <v>300</v>
      </c>
      <c r="C294" s="3" t="s">
        <v>59</v>
      </c>
      <c r="D294" s="3" t="s">
        <v>17</v>
      </c>
      <c r="E294" s="3" t="s">
        <v>374</v>
      </c>
      <c r="F294" s="17"/>
      <c r="G294" s="111">
        <f>SUM(G295+G297+G299)</f>
        <v>2708000</v>
      </c>
      <c r="H294" s="111">
        <f>SUM(H295+H297+H299)</f>
        <v>0</v>
      </c>
      <c r="I294" s="107">
        <f t="shared" si="32"/>
        <v>2708000</v>
      </c>
      <c r="J294" s="137"/>
    </row>
    <row r="295" spans="1:10" ht="41.25" customHeight="1">
      <c r="A295" s="119" t="s">
        <v>378</v>
      </c>
      <c r="B295" s="1" t="s">
        <v>300</v>
      </c>
      <c r="C295" s="3" t="s">
        <v>59</v>
      </c>
      <c r="D295" s="3" t="s">
        <v>17</v>
      </c>
      <c r="E295" s="1" t="s">
        <v>380</v>
      </c>
      <c r="F295" s="17"/>
      <c r="G295" s="111">
        <f>G296</f>
        <v>1628400</v>
      </c>
      <c r="H295" s="111">
        <f>H296</f>
        <v>0</v>
      </c>
      <c r="I295" s="107">
        <f t="shared" si="32"/>
        <v>1628400</v>
      </c>
      <c r="J295" s="137"/>
    </row>
    <row r="296" spans="1:10" ht="17.25" customHeight="1">
      <c r="A296" s="15" t="s">
        <v>134</v>
      </c>
      <c r="B296" s="1" t="s">
        <v>300</v>
      </c>
      <c r="C296" s="3" t="s">
        <v>59</v>
      </c>
      <c r="D296" s="3" t="s">
        <v>17</v>
      </c>
      <c r="E296" s="1" t="s">
        <v>380</v>
      </c>
      <c r="F296" s="17" t="s">
        <v>133</v>
      </c>
      <c r="G296" s="111">
        <v>1628400</v>
      </c>
      <c r="H296" s="111"/>
      <c r="I296" s="107">
        <f t="shared" si="32"/>
        <v>1628400</v>
      </c>
      <c r="J296" s="137"/>
    </row>
    <row r="297" spans="1:10" ht="55.5" customHeight="1">
      <c r="A297" s="119" t="s">
        <v>383</v>
      </c>
      <c r="B297" s="1" t="s">
        <v>300</v>
      </c>
      <c r="C297" s="3" t="s">
        <v>59</v>
      </c>
      <c r="D297" s="3" t="s">
        <v>17</v>
      </c>
      <c r="E297" s="1" t="s">
        <v>381</v>
      </c>
      <c r="F297" s="17"/>
      <c r="G297" s="111">
        <f>G298</f>
        <v>430000</v>
      </c>
      <c r="H297" s="111">
        <f>H298</f>
        <v>0</v>
      </c>
      <c r="I297" s="107">
        <f t="shared" si="32"/>
        <v>430000</v>
      </c>
      <c r="J297" s="137"/>
    </row>
    <row r="298" spans="1:10" ht="12.75" customHeight="1">
      <c r="A298" s="15" t="s">
        <v>134</v>
      </c>
      <c r="B298" s="1" t="s">
        <v>300</v>
      </c>
      <c r="C298" s="3" t="s">
        <v>59</v>
      </c>
      <c r="D298" s="3" t="s">
        <v>17</v>
      </c>
      <c r="E298" s="1" t="s">
        <v>381</v>
      </c>
      <c r="F298" s="17" t="s">
        <v>133</v>
      </c>
      <c r="G298" s="111">
        <v>430000</v>
      </c>
      <c r="H298" s="111"/>
      <c r="I298" s="107">
        <f t="shared" si="32"/>
        <v>430000</v>
      </c>
      <c r="J298" s="137"/>
    </row>
    <row r="299" spans="1:10" ht="39.75" customHeight="1">
      <c r="A299" s="119" t="s">
        <v>379</v>
      </c>
      <c r="B299" s="1" t="s">
        <v>300</v>
      </c>
      <c r="C299" s="3" t="s">
        <v>59</v>
      </c>
      <c r="D299" s="3" t="s">
        <v>17</v>
      </c>
      <c r="E299" s="1" t="s">
        <v>382</v>
      </c>
      <c r="F299" s="17"/>
      <c r="G299" s="111">
        <f>G300</f>
        <v>649600</v>
      </c>
      <c r="H299" s="111">
        <f>H300</f>
        <v>0</v>
      </c>
      <c r="I299" s="107">
        <f t="shared" si="32"/>
        <v>649600</v>
      </c>
      <c r="J299" s="137"/>
    </row>
    <row r="300" spans="1:10" ht="12.75" customHeight="1">
      <c r="A300" s="15" t="s">
        <v>134</v>
      </c>
      <c r="B300" s="1" t="s">
        <v>300</v>
      </c>
      <c r="C300" s="3" t="s">
        <v>59</v>
      </c>
      <c r="D300" s="3" t="s">
        <v>17</v>
      </c>
      <c r="E300" s="1" t="s">
        <v>382</v>
      </c>
      <c r="F300" s="17"/>
      <c r="G300" s="111">
        <v>649600</v>
      </c>
      <c r="H300" s="111">
        <f>H301</f>
        <v>0</v>
      </c>
      <c r="I300" s="107">
        <f t="shared" si="32"/>
        <v>649600</v>
      </c>
      <c r="J300" s="137"/>
    </row>
    <row r="301" spans="1:10" ht="12.75" customHeight="1">
      <c r="A301" s="15" t="s">
        <v>314</v>
      </c>
      <c r="B301" s="1" t="s">
        <v>300</v>
      </c>
      <c r="C301" s="3" t="s">
        <v>59</v>
      </c>
      <c r="D301" s="3" t="s">
        <v>17</v>
      </c>
      <c r="E301" s="1" t="s">
        <v>382</v>
      </c>
      <c r="F301" s="17" t="s">
        <v>315</v>
      </c>
      <c r="G301" s="111">
        <v>649600</v>
      </c>
      <c r="H301" s="111"/>
      <c r="I301" s="107">
        <f t="shared" si="32"/>
        <v>649600</v>
      </c>
      <c r="J301" s="137"/>
    </row>
    <row r="302" spans="1:10" ht="12.75" customHeight="1">
      <c r="A302" s="15"/>
      <c r="B302" s="1"/>
      <c r="C302" s="1"/>
      <c r="D302" s="1"/>
      <c r="E302" s="1"/>
      <c r="F302" s="17"/>
      <c r="G302" s="111"/>
      <c r="H302" s="111"/>
      <c r="I302" s="111"/>
      <c r="J302" s="136"/>
    </row>
    <row r="303" spans="1:10" ht="12.75" customHeight="1">
      <c r="A303" s="6" t="s">
        <v>329</v>
      </c>
      <c r="B303" s="18" t="s">
        <v>300</v>
      </c>
      <c r="C303" s="18" t="s">
        <v>59</v>
      </c>
      <c r="D303" s="18" t="s">
        <v>16</v>
      </c>
      <c r="E303" s="1"/>
      <c r="F303" s="17"/>
      <c r="G303" s="109">
        <f>G304</f>
        <v>700000</v>
      </c>
      <c r="H303" s="109">
        <f>H304</f>
        <v>0</v>
      </c>
      <c r="I303" s="109">
        <f>SUM(G303:H303)</f>
        <v>700000</v>
      </c>
      <c r="J303" s="134"/>
    </row>
    <row r="304" spans="1:10" ht="12.75" customHeight="1">
      <c r="A304" s="118" t="s">
        <v>330</v>
      </c>
      <c r="B304" s="1" t="s">
        <v>300</v>
      </c>
      <c r="C304" s="1" t="s">
        <v>59</v>
      </c>
      <c r="D304" s="1" t="s">
        <v>16</v>
      </c>
      <c r="E304" s="1" t="s">
        <v>331</v>
      </c>
      <c r="F304" s="17"/>
      <c r="G304" s="111">
        <f>G305</f>
        <v>700000</v>
      </c>
      <c r="H304" s="111">
        <f>H305</f>
        <v>0</v>
      </c>
      <c r="I304" s="107">
        <f>SUM(G304:H304)</f>
        <v>700000</v>
      </c>
      <c r="J304" s="137"/>
    </row>
    <row r="305" spans="1:10" ht="25.5" customHeight="1">
      <c r="A305" s="15" t="s">
        <v>332</v>
      </c>
      <c r="B305" s="1" t="s">
        <v>300</v>
      </c>
      <c r="C305" s="1" t="s">
        <v>59</v>
      </c>
      <c r="D305" s="1" t="s">
        <v>16</v>
      </c>
      <c r="E305" s="1" t="s">
        <v>333</v>
      </c>
      <c r="F305" s="17"/>
      <c r="G305" s="111">
        <f>SUM(G306:G307)</f>
        <v>700000</v>
      </c>
      <c r="H305" s="111">
        <f>SUM(H306:H307)</f>
        <v>0</v>
      </c>
      <c r="I305" s="107">
        <f>SUM(G305:H305)</f>
        <v>700000</v>
      </c>
      <c r="J305" s="137"/>
    </row>
    <row r="306" spans="1:10" ht="12.75" customHeight="1">
      <c r="A306" s="15" t="s">
        <v>66</v>
      </c>
      <c r="B306" s="1" t="s">
        <v>300</v>
      </c>
      <c r="C306" s="1" t="s">
        <v>59</v>
      </c>
      <c r="D306" s="1" t="s">
        <v>16</v>
      </c>
      <c r="E306" s="1" t="s">
        <v>333</v>
      </c>
      <c r="F306" s="17" t="s">
        <v>36</v>
      </c>
      <c r="G306" s="111">
        <v>0</v>
      </c>
      <c r="H306" s="111"/>
      <c r="I306" s="107">
        <f>SUM(G306:H306)</f>
        <v>0</v>
      </c>
      <c r="J306" s="137"/>
    </row>
    <row r="307" spans="1:10" ht="12.75" customHeight="1">
      <c r="A307" s="15" t="s">
        <v>134</v>
      </c>
      <c r="B307" s="1" t="s">
        <v>300</v>
      </c>
      <c r="C307" s="1" t="s">
        <v>59</v>
      </c>
      <c r="D307" s="1" t="s">
        <v>16</v>
      </c>
      <c r="E307" s="1" t="s">
        <v>333</v>
      </c>
      <c r="F307" s="17" t="s">
        <v>133</v>
      </c>
      <c r="G307" s="111">
        <v>700000</v>
      </c>
      <c r="H307" s="111"/>
      <c r="I307" s="107">
        <f>SUM(G307:H307)</f>
        <v>700000</v>
      </c>
      <c r="J307" s="137"/>
    </row>
    <row r="308" spans="1:10" ht="12.75" customHeight="1">
      <c r="A308" s="15"/>
      <c r="B308" s="1"/>
      <c r="C308" s="1"/>
      <c r="D308" s="1"/>
      <c r="E308" s="1"/>
      <c r="F308" s="17"/>
      <c r="G308" s="111"/>
      <c r="H308" s="111"/>
      <c r="I308" s="111"/>
      <c r="J308" s="136"/>
    </row>
    <row r="309" spans="1:10" ht="12.75">
      <c r="A309" s="4" t="s">
        <v>72</v>
      </c>
      <c r="B309" s="18" t="s">
        <v>300</v>
      </c>
      <c r="C309" s="18" t="s">
        <v>59</v>
      </c>
      <c r="D309" s="18" t="s">
        <v>58</v>
      </c>
      <c r="E309" s="1"/>
      <c r="F309" s="17"/>
      <c r="G309" s="109">
        <f aca="true" t="shared" si="33" ref="G309:H311">G310</f>
        <v>100000</v>
      </c>
      <c r="H309" s="109">
        <f t="shared" si="33"/>
        <v>0</v>
      </c>
      <c r="I309" s="109">
        <f>SUM(G309:H309)</f>
        <v>100000</v>
      </c>
      <c r="J309" s="134"/>
    </row>
    <row r="310" spans="1:10" ht="12.75">
      <c r="A310" s="2" t="s">
        <v>72</v>
      </c>
      <c r="B310" s="1" t="s">
        <v>300</v>
      </c>
      <c r="C310" s="1" t="s">
        <v>59</v>
      </c>
      <c r="D310" s="1" t="s">
        <v>58</v>
      </c>
      <c r="E310" s="1" t="s">
        <v>73</v>
      </c>
      <c r="F310" s="17"/>
      <c r="G310" s="111">
        <f t="shared" si="33"/>
        <v>100000</v>
      </c>
      <c r="H310" s="111">
        <f t="shared" si="33"/>
        <v>0</v>
      </c>
      <c r="I310" s="107">
        <f>SUM(G310:H310)</f>
        <v>100000</v>
      </c>
      <c r="J310" s="137"/>
    </row>
    <row r="311" spans="1:10" ht="25.5">
      <c r="A311" s="5" t="s">
        <v>4</v>
      </c>
      <c r="B311" s="1" t="s">
        <v>300</v>
      </c>
      <c r="C311" s="1" t="s">
        <v>59</v>
      </c>
      <c r="D311" s="1" t="s">
        <v>58</v>
      </c>
      <c r="E311" s="1" t="s">
        <v>5</v>
      </c>
      <c r="F311" s="17"/>
      <c r="G311" s="111">
        <f t="shared" si="33"/>
        <v>100000</v>
      </c>
      <c r="H311" s="111">
        <f t="shared" si="33"/>
        <v>0</v>
      </c>
      <c r="I311" s="107">
        <f>SUM(G311:H311)</f>
        <v>100000</v>
      </c>
      <c r="J311" s="137"/>
    </row>
    <row r="312" spans="1:10" ht="12.75">
      <c r="A312" s="2" t="s">
        <v>66</v>
      </c>
      <c r="B312" s="1" t="s">
        <v>300</v>
      </c>
      <c r="C312" s="1" t="s">
        <v>59</v>
      </c>
      <c r="D312" s="1" t="s">
        <v>58</v>
      </c>
      <c r="E312" s="1" t="s">
        <v>5</v>
      </c>
      <c r="F312" s="17" t="s">
        <v>36</v>
      </c>
      <c r="G312" s="111">
        <v>100000</v>
      </c>
      <c r="H312" s="111"/>
      <c r="I312" s="107">
        <f>SUM(G312:H312)</f>
        <v>100000</v>
      </c>
      <c r="J312" s="137"/>
    </row>
    <row r="313" spans="1:10" ht="12.75">
      <c r="A313" s="2"/>
      <c r="B313" s="1"/>
      <c r="C313" s="1"/>
      <c r="D313" s="1"/>
      <c r="E313" s="1"/>
      <c r="F313" s="17"/>
      <c r="G313" s="111"/>
      <c r="H313" s="111"/>
      <c r="I313" s="111"/>
      <c r="J313" s="136"/>
    </row>
    <row r="314" spans="1:10" ht="12.75">
      <c r="A314" s="4" t="s">
        <v>12</v>
      </c>
      <c r="B314" s="18" t="s">
        <v>300</v>
      </c>
      <c r="C314" s="18" t="s">
        <v>59</v>
      </c>
      <c r="D314" s="18" t="s">
        <v>188</v>
      </c>
      <c r="E314" s="1"/>
      <c r="F314" s="17"/>
      <c r="G314" s="109">
        <f>SUM(G315+G318+G324+G331+G327+G339)</f>
        <v>16468982.169999998</v>
      </c>
      <c r="H314" s="109">
        <f>SUM(H315+H318+H324+H331+H327+H339)</f>
        <v>-334755.07</v>
      </c>
      <c r="I314" s="109">
        <f>SUM(G314:H314)</f>
        <v>16134227.099999998</v>
      </c>
      <c r="J314" s="134"/>
    </row>
    <row r="315" spans="1:10" ht="12.75">
      <c r="A315" s="2" t="s">
        <v>72</v>
      </c>
      <c r="B315" s="14" t="s">
        <v>300</v>
      </c>
      <c r="C315" s="14" t="s">
        <v>59</v>
      </c>
      <c r="D315" s="14" t="s">
        <v>188</v>
      </c>
      <c r="E315" s="1" t="s">
        <v>73</v>
      </c>
      <c r="F315" s="17"/>
      <c r="G315" s="107">
        <f>G316</f>
        <v>0</v>
      </c>
      <c r="H315" s="107">
        <f>H316</f>
        <v>160000</v>
      </c>
      <c r="I315" s="107">
        <f>SUM(G315:H315)</f>
        <v>160000</v>
      </c>
      <c r="J315" s="134"/>
    </row>
    <row r="316" spans="1:10" ht="25.5">
      <c r="A316" s="2" t="s">
        <v>481</v>
      </c>
      <c r="B316" s="14" t="s">
        <v>300</v>
      </c>
      <c r="C316" s="14" t="s">
        <v>59</v>
      </c>
      <c r="D316" s="14" t="s">
        <v>188</v>
      </c>
      <c r="E316" s="1" t="s">
        <v>482</v>
      </c>
      <c r="F316" s="17"/>
      <c r="G316" s="107">
        <f>G317</f>
        <v>0</v>
      </c>
      <c r="H316" s="107">
        <f>H317</f>
        <v>160000</v>
      </c>
      <c r="I316" s="107">
        <f>SUM(G316:H316)</f>
        <v>160000</v>
      </c>
      <c r="J316" s="134"/>
    </row>
    <row r="317" spans="1:10" ht="12.75">
      <c r="A317" s="2" t="s">
        <v>408</v>
      </c>
      <c r="B317" s="14" t="s">
        <v>300</v>
      </c>
      <c r="C317" s="14" t="s">
        <v>59</v>
      </c>
      <c r="D317" s="14" t="s">
        <v>188</v>
      </c>
      <c r="E317" s="1" t="s">
        <v>482</v>
      </c>
      <c r="F317" s="17" t="s">
        <v>407</v>
      </c>
      <c r="G317" s="109"/>
      <c r="H317" s="107">
        <v>160000</v>
      </c>
      <c r="I317" s="107">
        <f>SUM(G317:H317)</f>
        <v>160000</v>
      </c>
      <c r="J317" s="134"/>
    </row>
    <row r="318" spans="1:10" ht="25.5">
      <c r="A318" s="2" t="s">
        <v>138</v>
      </c>
      <c r="B318" s="1" t="s">
        <v>300</v>
      </c>
      <c r="C318" s="1" t="s">
        <v>59</v>
      </c>
      <c r="D318" s="1" t="s">
        <v>188</v>
      </c>
      <c r="E318" s="1" t="s">
        <v>139</v>
      </c>
      <c r="F318" s="17"/>
      <c r="G318" s="111">
        <f>G322+G319</f>
        <v>1121747.95</v>
      </c>
      <c r="H318" s="111">
        <f>H322+H319</f>
        <v>-250026.54</v>
      </c>
      <c r="I318" s="107">
        <f aca="true" t="shared" si="34" ref="I318:I342">SUM(G318:H318)</f>
        <v>871721.4099999999</v>
      </c>
      <c r="J318" s="137"/>
    </row>
    <row r="319" spans="1:10" ht="12.75">
      <c r="A319" s="2" t="s">
        <v>269</v>
      </c>
      <c r="B319" s="1" t="s">
        <v>300</v>
      </c>
      <c r="C319" s="1" t="s">
        <v>59</v>
      </c>
      <c r="D319" s="1" t="s">
        <v>188</v>
      </c>
      <c r="E319" s="1" t="s">
        <v>270</v>
      </c>
      <c r="F319" s="17"/>
      <c r="G319" s="111">
        <f>+G320</f>
        <v>121687.95</v>
      </c>
      <c r="H319" s="111">
        <f>+H320</f>
        <v>-51687.950000000004</v>
      </c>
      <c r="I319" s="107">
        <f t="shared" si="34"/>
        <v>70000</v>
      </c>
      <c r="J319" s="137"/>
    </row>
    <row r="320" spans="1:10" ht="12.75" customHeight="1">
      <c r="A320" s="2" t="s">
        <v>272</v>
      </c>
      <c r="B320" s="1" t="s">
        <v>300</v>
      </c>
      <c r="C320" s="1" t="s">
        <v>59</v>
      </c>
      <c r="D320" s="1" t="s">
        <v>188</v>
      </c>
      <c r="E320" s="1" t="s">
        <v>271</v>
      </c>
      <c r="F320" s="17"/>
      <c r="G320" s="111">
        <f>G321</f>
        <v>121687.95</v>
      </c>
      <c r="H320" s="111">
        <f>H321</f>
        <v>-51687.950000000004</v>
      </c>
      <c r="I320" s="107">
        <f t="shared" si="34"/>
        <v>70000</v>
      </c>
      <c r="J320" s="137"/>
    </row>
    <row r="321" spans="1:10" ht="12.75">
      <c r="A321" s="15" t="s">
        <v>134</v>
      </c>
      <c r="B321" s="1" t="s">
        <v>300</v>
      </c>
      <c r="C321" s="1" t="s">
        <v>59</v>
      </c>
      <c r="D321" s="1" t="s">
        <v>188</v>
      </c>
      <c r="E321" s="1" t="s">
        <v>271</v>
      </c>
      <c r="F321" s="17" t="s">
        <v>133</v>
      </c>
      <c r="G321" s="111">
        <v>121687.95</v>
      </c>
      <c r="H321" s="111">
        <f>-36234.01-11800-3653.94</f>
        <v>-51687.950000000004</v>
      </c>
      <c r="I321" s="107">
        <f t="shared" si="34"/>
        <v>70000</v>
      </c>
      <c r="J321" s="137"/>
    </row>
    <row r="322" spans="1:10" ht="12.75" customHeight="1">
      <c r="A322" s="2" t="s">
        <v>245</v>
      </c>
      <c r="B322" s="1" t="s">
        <v>300</v>
      </c>
      <c r="C322" s="1" t="s">
        <v>59</v>
      </c>
      <c r="D322" s="1" t="s">
        <v>188</v>
      </c>
      <c r="E322" s="1" t="s">
        <v>246</v>
      </c>
      <c r="F322" s="17"/>
      <c r="G322" s="111">
        <f>+G323</f>
        <v>1000060</v>
      </c>
      <c r="H322" s="111">
        <f>+H323</f>
        <v>-198338.59</v>
      </c>
      <c r="I322" s="107">
        <f t="shared" si="34"/>
        <v>801721.41</v>
      </c>
      <c r="J322" s="137"/>
    </row>
    <row r="323" spans="1:10" ht="12.75" customHeight="1">
      <c r="A323" s="15" t="s">
        <v>134</v>
      </c>
      <c r="B323" s="1" t="s">
        <v>300</v>
      </c>
      <c r="C323" s="1" t="s">
        <v>59</v>
      </c>
      <c r="D323" s="1" t="s">
        <v>188</v>
      </c>
      <c r="E323" s="1" t="s">
        <v>246</v>
      </c>
      <c r="F323" s="17" t="s">
        <v>133</v>
      </c>
      <c r="G323" s="111">
        <v>1000060</v>
      </c>
      <c r="H323" s="111">
        <f>-160338.59-38000</f>
        <v>-198338.59</v>
      </c>
      <c r="I323" s="107">
        <f t="shared" si="34"/>
        <v>801721.41</v>
      </c>
      <c r="J323" s="137"/>
    </row>
    <row r="324" spans="1:10" ht="16.5" customHeight="1">
      <c r="A324" s="2" t="s">
        <v>317</v>
      </c>
      <c r="B324" s="3" t="s">
        <v>300</v>
      </c>
      <c r="C324" s="3" t="s">
        <v>59</v>
      </c>
      <c r="D324" s="3" t="s">
        <v>188</v>
      </c>
      <c r="E324" s="3" t="s">
        <v>318</v>
      </c>
      <c r="F324" s="20"/>
      <c r="G324" s="111">
        <f>G325</f>
        <v>7325847</v>
      </c>
      <c r="H324" s="111">
        <f>H325</f>
        <v>250366.59</v>
      </c>
      <c r="I324" s="107">
        <f t="shared" si="34"/>
        <v>7576213.59</v>
      </c>
      <c r="J324" s="137"/>
    </row>
    <row r="325" spans="1:10" ht="15.75" customHeight="1">
      <c r="A325" s="117" t="s">
        <v>68</v>
      </c>
      <c r="B325" s="3" t="s">
        <v>300</v>
      </c>
      <c r="C325" s="3" t="s">
        <v>59</v>
      </c>
      <c r="D325" s="3" t="s">
        <v>188</v>
      </c>
      <c r="E325" s="3" t="s">
        <v>319</v>
      </c>
      <c r="F325" s="20"/>
      <c r="G325" s="111">
        <f>G326</f>
        <v>7325847</v>
      </c>
      <c r="H325" s="111">
        <f>H326</f>
        <v>250366.59</v>
      </c>
      <c r="I325" s="107">
        <f t="shared" si="34"/>
        <v>7576213.59</v>
      </c>
      <c r="J325" s="137"/>
    </row>
    <row r="326" spans="1:11" ht="15.75" customHeight="1">
      <c r="A326" s="117" t="s">
        <v>320</v>
      </c>
      <c r="B326" s="3" t="s">
        <v>300</v>
      </c>
      <c r="C326" s="3" t="s">
        <v>59</v>
      </c>
      <c r="D326" s="3" t="s">
        <v>188</v>
      </c>
      <c r="E326" s="3" t="s">
        <v>319</v>
      </c>
      <c r="F326" s="20" t="s">
        <v>321</v>
      </c>
      <c r="G326" s="111">
        <v>7325847</v>
      </c>
      <c r="H326" s="111">
        <f>100338.59+60000+12028+40000+38000</f>
        <v>250366.59</v>
      </c>
      <c r="I326" s="107">
        <f t="shared" si="34"/>
        <v>7576213.59</v>
      </c>
      <c r="J326" s="137"/>
      <c r="K326">
        <f>40000-3653.94</f>
        <v>36346.06</v>
      </c>
    </row>
    <row r="327" spans="1:10" ht="12.75" customHeight="1">
      <c r="A327" s="2" t="s">
        <v>140</v>
      </c>
      <c r="B327" s="14" t="s">
        <v>300</v>
      </c>
      <c r="C327" s="14" t="s">
        <v>59</v>
      </c>
      <c r="D327" s="1" t="s">
        <v>188</v>
      </c>
      <c r="E327" s="1" t="s">
        <v>141</v>
      </c>
      <c r="F327" s="17"/>
      <c r="G327" s="107">
        <f>+G328</f>
        <v>449500</v>
      </c>
      <c r="H327" s="107">
        <f>+H328</f>
        <v>0</v>
      </c>
      <c r="I327" s="107">
        <f t="shared" si="34"/>
        <v>449500</v>
      </c>
      <c r="J327" s="137"/>
    </row>
    <row r="328" spans="1:10" ht="38.25" customHeight="1">
      <c r="A328" s="8" t="s">
        <v>336</v>
      </c>
      <c r="B328" s="14" t="s">
        <v>300</v>
      </c>
      <c r="C328" s="14" t="s">
        <v>59</v>
      </c>
      <c r="D328" s="1" t="s">
        <v>188</v>
      </c>
      <c r="E328" s="1" t="s">
        <v>373</v>
      </c>
      <c r="F328" s="17"/>
      <c r="G328" s="111">
        <f>SUM(G329:G330)</f>
        <v>449500</v>
      </c>
      <c r="H328" s="111">
        <f>SUM(H329:H330)</f>
        <v>0</v>
      </c>
      <c r="I328" s="107">
        <f t="shared" si="34"/>
        <v>449500</v>
      </c>
      <c r="J328" s="137"/>
    </row>
    <row r="329" spans="1:10" ht="12.75" customHeight="1">
      <c r="A329" s="15" t="s">
        <v>134</v>
      </c>
      <c r="B329" s="14" t="s">
        <v>300</v>
      </c>
      <c r="C329" s="14" t="s">
        <v>59</v>
      </c>
      <c r="D329" s="1" t="s">
        <v>188</v>
      </c>
      <c r="E329" s="1" t="s">
        <v>373</v>
      </c>
      <c r="F329" s="17" t="s">
        <v>133</v>
      </c>
      <c r="G329" s="111">
        <v>0</v>
      </c>
      <c r="H329" s="111"/>
      <c r="I329" s="107">
        <f t="shared" si="34"/>
        <v>0</v>
      </c>
      <c r="J329" s="137"/>
    </row>
    <row r="330" spans="1:10" ht="12.75" customHeight="1">
      <c r="A330" s="2" t="s">
        <v>129</v>
      </c>
      <c r="B330" s="14" t="s">
        <v>300</v>
      </c>
      <c r="C330" s="14" t="s">
        <v>59</v>
      </c>
      <c r="D330" s="1" t="s">
        <v>188</v>
      </c>
      <c r="E330" s="1" t="s">
        <v>373</v>
      </c>
      <c r="F330" s="17" t="s">
        <v>130</v>
      </c>
      <c r="G330" s="111">
        <v>449500</v>
      </c>
      <c r="H330" s="111"/>
      <c r="I330" s="107">
        <f t="shared" si="34"/>
        <v>449500</v>
      </c>
      <c r="J330" s="137"/>
    </row>
    <row r="331" spans="1:10" ht="12.75">
      <c r="A331" s="2" t="s">
        <v>128</v>
      </c>
      <c r="B331" s="14" t="s">
        <v>300</v>
      </c>
      <c r="C331" s="14" t="s">
        <v>59</v>
      </c>
      <c r="D331" s="1" t="s">
        <v>188</v>
      </c>
      <c r="E331" s="1" t="s">
        <v>42</v>
      </c>
      <c r="F331" s="17"/>
      <c r="G331" s="107">
        <f>G332+G335+G337</f>
        <v>7421887.22</v>
      </c>
      <c r="H331" s="107">
        <f>H332+H335+H337</f>
        <v>-495095.12</v>
      </c>
      <c r="I331" s="107">
        <f>I332+I335+I337</f>
        <v>6926792.1</v>
      </c>
      <c r="J331" s="137"/>
    </row>
    <row r="332" spans="1:10" ht="39" customHeight="1">
      <c r="A332" s="7" t="s">
        <v>87</v>
      </c>
      <c r="B332" s="1" t="s">
        <v>300</v>
      </c>
      <c r="C332" s="1" t="s">
        <v>59</v>
      </c>
      <c r="D332" s="1" t="s">
        <v>188</v>
      </c>
      <c r="E332" s="1" t="s">
        <v>43</v>
      </c>
      <c r="F332" s="17"/>
      <c r="G332" s="111">
        <f>G333</f>
        <v>700000</v>
      </c>
      <c r="H332" s="111">
        <f>H333</f>
        <v>0</v>
      </c>
      <c r="I332" s="107">
        <f t="shared" si="34"/>
        <v>700000</v>
      </c>
      <c r="J332" s="137"/>
    </row>
    <row r="333" spans="1:10" ht="38.25">
      <c r="A333" s="2" t="s">
        <v>451</v>
      </c>
      <c r="B333" s="1" t="s">
        <v>300</v>
      </c>
      <c r="C333" s="1" t="s">
        <v>59</v>
      </c>
      <c r="D333" s="1" t="s">
        <v>188</v>
      </c>
      <c r="E333" s="1" t="s">
        <v>44</v>
      </c>
      <c r="F333" s="17"/>
      <c r="G333" s="111">
        <f>SUM(G334:G334)</f>
        <v>700000</v>
      </c>
      <c r="H333" s="111">
        <f>SUM(H334:H334)</f>
        <v>0</v>
      </c>
      <c r="I333" s="107">
        <f t="shared" si="34"/>
        <v>700000</v>
      </c>
      <c r="J333" s="137"/>
    </row>
    <row r="334" spans="1:10" ht="12.75">
      <c r="A334" s="2" t="s">
        <v>67</v>
      </c>
      <c r="B334" s="1" t="s">
        <v>300</v>
      </c>
      <c r="C334" s="1" t="s">
        <v>59</v>
      </c>
      <c r="D334" s="1" t="s">
        <v>188</v>
      </c>
      <c r="E334" s="1" t="s">
        <v>44</v>
      </c>
      <c r="F334" s="17" t="s">
        <v>60</v>
      </c>
      <c r="G334" s="111">
        <v>700000</v>
      </c>
      <c r="H334" s="111"/>
      <c r="I334" s="107">
        <f t="shared" si="34"/>
        <v>700000</v>
      </c>
      <c r="J334" s="137"/>
    </row>
    <row r="335" spans="1:10" ht="25.5">
      <c r="A335" s="5" t="s">
        <v>347</v>
      </c>
      <c r="B335" s="3" t="s">
        <v>300</v>
      </c>
      <c r="C335" s="3" t="s">
        <v>59</v>
      </c>
      <c r="D335" s="3" t="s">
        <v>188</v>
      </c>
      <c r="E335" s="3" t="s">
        <v>348</v>
      </c>
      <c r="F335" s="17"/>
      <c r="G335" s="111">
        <f>G336</f>
        <v>6471887.22</v>
      </c>
      <c r="H335" s="111">
        <f>H336</f>
        <v>-495095.12</v>
      </c>
      <c r="I335" s="107">
        <f t="shared" si="34"/>
        <v>5976792.1</v>
      </c>
      <c r="J335" s="137"/>
    </row>
    <row r="336" spans="1:10" ht="12.75">
      <c r="A336" s="15" t="s">
        <v>134</v>
      </c>
      <c r="B336" s="3" t="s">
        <v>300</v>
      </c>
      <c r="C336" s="3" t="s">
        <v>59</v>
      </c>
      <c r="D336" s="3" t="s">
        <v>188</v>
      </c>
      <c r="E336" s="3" t="s">
        <v>348</v>
      </c>
      <c r="F336" s="17" t="s">
        <v>133</v>
      </c>
      <c r="G336" s="111">
        <v>6471887.22</v>
      </c>
      <c r="H336" s="111">
        <v>-495095.12</v>
      </c>
      <c r="I336" s="107">
        <f t="shared" si="34"/>
        <v>5976792.1</v>
      </c>
      <c r="J336" s="137"/>
    </row>
    <row r="337" spans="1:10" ht="25.5">
      <c r="A337" s="15" t="s">
        <v>475</v>
      </c>
      <c r="B337" s="3" t="s">
        <v>300</v>
      </c>
      <c r="C337" s="3" t="s">
        <v>59</v>
      </c>
      <c r="D337" s="3" t="s">
        <v>188</v>
      </c>
      <c r="E337" s="3" t="s">
        <v>474</v>
      </c>
      <c r="F337" s="17"/>
      <c r="G337" s="111">
        <f>G338</f>
        <v>250000</v>
      </c>
      <c r="H337" s="111">
        <f>H338</f>
        <v>0</v>
      </c>
      <c r="I337" s="111">
        <f>I338</f>
        <v>250000</v>
      </c>
      <c r="J337" s="137"/>
    </row>
    <row r="338" spans="1:10" ht="12.75">
      <c r="A338" s="15" t="s">
        <v>408</v>
      </c>
      <c r="B338" s="3" t="s">
        <v>300</v>
      </c>
      <c r="C338" s="3" t="s">
        <v>59</v>
      </c>
      <c r="D338" s="3" t="s">
        <v>188</v>
      </c>
      <c r="E338" s="3" t="s">
        <v>474</v>
      </c>
      <c r="F338" s="17" t="s">
        <v>407</v>
      </c>
      <c r="G338" s="111">
        <v>250000</v>
      </c>
      <c r="H338" s="111"/>
      <c r="I338" s="111">
        <f>G338+H338</f>
        <v>250000</v>
      </c>
      <c r="J338" s="137"/>
    </row>
    <row r="339" spans="1:10" ht="12.75">
      <c r="A339" s="2" t="s">
        <v>147</v>
      </c>
      <c r="B339" s="1" t="s">
        <v>300</v>
      </c>
      <c r="C339" s="1" t="s">
        <v>59</v>
      </c>
      <c r="D339" s="1" t="s">
        <v>188</v>
      </c>
      <c r="E339" s="1" t="s">
        <v>148</v>
      </c>
      <c r="F339" s="17"/>
      <c r="G339" s="111">
        <f>SUM(G340)</f>
        <v>150000</v>
      </c>
      <c r="H339" s="111">
        <f>SUM(H340)</f>
        <v>0</v>
      </c>
      <c r="I339" s="111">
        <f>G339+H339</f>
        <v>150000</v>
      </c>
      <c r="J339" s="137"/>
    </row>
    <row r="340" spans="1:10" ht="38.25">
      <c r="A340" s="15" t="s">
        <v>276</v>
      </c>
      <c r="B340" s="87" t="s">
        <v>300</v>
      </c>
      <c r="C340" s="1" t="s">
        <v>59</v>
      </c>
      <c r="D340" s="1" t="s">
        <v>188</v>
      </c>
      <c r="E340" s="1" t="s">
        <v>275</v>
      </c>
      <c r="F340" s="17"/>
      <c r="G340" s="111">
        <f>SUM(G341:G342)</f>
        <v>150000</v>
      </c>
      <c r="H340" s="111">
        <f>SUM(H341:H342)</f>
        <v>0</v>
      </c>
      <c r="I340" s="107">
        <f t="shared" si="34"/>
        <v>150000</v>
      </c>
      <c r="J340" s="137"/>
    </row>
    <row r="341" spans="1:12" ht="12.75">
      <c r="A341" s="15" t="s">
        <v>134</v>
      </c>
      <c r="B341" s="87" t="s">
        <v>300</v>
      </c>
      <c r="C341" s="1" t="s">
        <v>59</v>
      </c>
      <c r="D341" s="1" t="s">
        <v>188</v>
      </c>
      <c r="E341" s="1" t="s">
        <v>275</v>
      </c>
      <c r="F341" s="17" t="s">
        <v>133</v>
      </c>
      <c r="G341" s="111">
        <v>0</v>
      </c>
      <c r="H341" s="111"/>
      <c r="I341" s="107">
        <f t="shared" si="34"/>
        <v>0</v>
      </c>
      <c r="J341" s="137"/>
      <c r="L341" s="122"/>
    </row>
    <row r="342" spans="1:12" ht="12.75">
      <c r="A342" s="2" t="s">
        <v>129</v>
      </c>
      <c r="B342" s="87" t="s">
        <v>300</v>
      </c>
      <c r="C342" s="1" t="s">
        <v>59</v>
      </c>
      <c r="D342" s="1" t="s">
        <v>188</v>
      </c>
      <c r="E342" s="1" t="s">
        <v>275</v>
      </c>
      <c r="F342" s="17" t="s">
        <v>130</v>
      </c>
      <c r="G342" s="111">
        <v>150000</v>
      </c>
      <c r="H342" s="111"/>
      <c r="I342" s="107">
        <f t="shared" si="34"/>
        <v>150000</v>
      </c>
      <c r="J342" s="137"/>
      <c r="L342" s="122"/>
    </row>
    <row r="343" spans="1:10" ht="12.75" customHeight="1">
      <c r="A343" s="2"/>
      <c r="B343" s="1"/>
      <c r="C343" s="1"/>
      <c r="D343" s="1"/>
      <c r="E343" s="1"/>
      <c r="F343" s="17"/>
      <c r="G343" s="111"/>
      <c r="H343" s="111"/>
      <c r="I343" s="111"/>
      <c r="J343" s="136"/>
    </row>
    <row r="344" spans="1:10" ht="15.75">
      <c r="A344" s="36" t="s">
        <v>207</v>
      </c>
      <c r="B344" s="35" t="s">
        <v>300</v>
      </c>
      <c r="C344" s="35" t="s">
        <v>55</v>
      </c>
      <c r="D344" s="1"/>
      <c r="E344" s="1"/>
      <c r="F344" s="17"/>
      <c r="G344" s="108">
        <f aca="true" t="shared" si="35" ref="G344:H347">+G345</f>
        <v>1224300</v>
      </c>
      <c r="H344" s="108">
        <f t="shared" si="35"/>
        <v>0</v>
      </c>
      <c r="I344" s="108">
        <f>SUM(G344:H344)</f>
        <v>1224300</v>
      </c>
      <c r="J344" s="133"/>
    </row>
    <row r="345" spans="1:10" ht="12.75" customHeight="1">
      <c r="A345" s="6" t="s">
        <v>208</v>
      </c>
      <c r="B345" s="19" t="s">
        <v>300</v>
      </c>
      <c r="C345" s="19" t="s">
        <v>55</v>
      </c>
      <c r="D345" s="19" t="s">
        <v>41</v>
      </c>
      <c r="E345" s="19"/>
      <c r="F345" s="37"/>
      <c r="G345" s="109">
        <f t="shared" si="35"/>
        <v>1224300</v>
      </c>
      <c r="H345" s="109">
        <f t="shared" si="35"/>
        <v>0</v>
      </c>
      <c r="I345" s="109">
        <f>SUM(G345:H345)</f>
        <v>1224300</v>
      </c>
      <c r="J345" s="134"/>
    </row>
    <row r="346" spans="1:10" ht="12.75" customHeight="1">
      <c r="A346" s="2" t="s">
        <v>209</v>
      </c>
      <c r="B346" s="1" t="s">
        <v>300</v>
      </c>
      <c r="C346" s="1" t="s">
        <v>55</v>
      </c>
      <c r="D346" s="1" t="s">
        <v>41</v>
      </c>
      <c r="E346" s="1" t="s">
        <v>170</v>
      </c>
      <c r="F346" s="17"/>
      <c r="G346" s="107">
        <f t="shared" si="35"/>
        <v>1224300</v>
      </c>
      <c r="H346" s="107">
        <f t="shared" si="35"/>
        <v>0</v>
      </c>
      <c r="I346" s="107">
        <f>SUM(G346:H346)</f>
        <v>1224300</v>
      </c>
      <c r="J346" s="137"/>
    </row>
    <row r="347" spans="1:10" ht="25.5">
      <c r="A347" s="5" t="s">
        <v>210</v>
      </c>
      <c r="B347" s="1" t="s">
        <v>300</v>
      </c>
      <c r="C347" s="1" t="s">
        <v>55</v>
      </c>
      <c r="D347" s="1" t="s">
        <v>41</v>
      </c>
      <c r="E347" s="1" t="s">
        <v>171</v>
      </c>
      <c r="F347" s="17"/>
      <c r="G347" s="107">
        <f t="shared" si="35"/>
        <v>1224300</v>
      </c>
      <c r="H347" s="107">
        <f t="shared" si="35"/>
        <v>0</v>
      </c>
      <c r="I347" s="107">
        <f>SUM(G347:H347)</f>
        <v>1224300</v>
      </c>
      <c r="J347" s="137"/>
    </row>
    <row r="348" spans="1:10" ht="12.75" customHeight="1">
      <c r="A348" s="15" t="s">
        <v>131</v>
      </c>
      <c r="B348" s="1" t="s">
        <v>300</v>
      </c>
      <c r="C348" s="1" t="s">
        <v>55</v>
      </c>
      <c r="D348" s="1" t="s">
        <v>41</v>
      </c>
      <c r="E348" s="1" t="s">
        <v>171</v>
      </c>
      <c r="F348" s="17" t="s">
        <v>132</v>
      </c>
      <c r="G348" s="107">
        <v>1224300</v>
      </c>
      <c r="H348" s="107"/>
      <c r="I348" s="107">
        <f>SUM(G348:H348)</f>
        <v>1224300</v>
      </c>
      <c r="J348" s="137"/>
    </row>
    <row r="349" spans="1:10" ht="12.75" customHeight="1">
      <c r="A349" s="15"/>
      <c r="B349" s="1"/>
      <c r="C349" s="1"/>
      <c r="D349" s="1"/>
      <c r="E349" s="1"/>
      <c r="F349" s="17"/>
      <c r="G349" s="111"/>
      <c r="H349" s="111"/>
      <c r="I349" s="111"/>
      <c r="J349" s="136"/>
    </row>
    <row r="350" spans="1:10" ht="31.5">
      <c r="A350" s="36" t="s">
        <v>82</v>
      </c>
      <c r="B350" s="35" t="s">
        <v>300</v>
      </c>
      <c r="C350" s="35" t="s">
        <v>41</v>
      </c>
      <c r="D350" s="1"/>
      <c r="E350" s="1"/>
      <c r="F350" s="17"/>
      <c r="G350" s="108">
        <f>SUM(G351+G360)</f>
        <v>150000</v>
      </c>
      <c r="H350" s="108">
        <f>SUM(H351+H360)</f>
        <v>0</v>
      </c>
      <c r="I350" s="108">
        <f aca="true" t="shared" si="36" ref="I350:I358">SUM(G350:H350)</f>
        <v>150000</v>
      </c>
      <c r="J350" s="133"/>
    </row>
    <row r="351" spans="1:10" ht="42" customHeight="1">
      <c r="A351" s="23" t="s">
        <v>179</v>
      </c>
      <c r="B351" s="18" t="s">
        <v>300</v>
      </c>
      <c r="C351" s="18" t="s">
        <v>41</v>
      </c>
      <c r="D351" s="18" t="s">
        <v>52</v>
      </c>
      <c r="E351" s="1"/>
      <c r="F351" s="17"/>
      <c r="G351" s="109">
        <f>G352</f>
        <v>50000</v>
      </c>
      <c r="H351" s="109">
        <f>H352+H355</f>
        <v>0</v>
      </c>
      <c r="I351" s="109">
        <f t="shared" si="36"/>
        <v>50000</v>
      </c>
      <c r="J351" s="134"/>
    </row>
    <row r="352" spans="1:10" ht="25.5">
      <c r="A352" s="16" t="s">
        <v>119</v>
      </c>
      <c r="B352" s="1" t="s">
        <v>300</v>
      </c>
      <c r="C352" s="1" t="s">
        <v>41</v>
      </c>
      <c r="D352" s="1" t="s">
        <v>52</v>
      </c>
      <c r="E352" s="1" t="s">
        <v>120</v>
      </c>
      <c r="F352" s="17"/>
      <c r="G352" s="111">
        <f>G353</f>
        <v>50000</v>
      </c>
      <c r="H352" s="111">
        <f>H353</f>
        <v>-11800</v>
      </c>
      <c r="I352" s="107">
        <f t="shared" si="36"/>
        <v>38200</v>
      </c>
      <c r="J352" s="137"/>
    </row>
    <row r="353" spans="1:10" ht="38.25">
      <c r="A353" s="16" t="s">
        <v>121</v>
      </c>
      <c r="B353" s="1" t="s">
        <v>300</v>
      </c>
      <c r="C353" s="1" t="s">
        <v>41</v>
      </c>
      <c r="D353" s="1" t="s">
        <v>52</v>
      </c>
      <c r="E353" s="1" t="s">
        <v>122</v>
      </c>
      <c r="F353" s="17"/>
      <c r="G353" s="111">
        <f>SUM(G354)</f>
        <v>50000</v>
      </c>
      <c r="H353" s="111">
        <f>SUM(H354)</f>
        <v>-11800</v>
      </c>
      <c r="I353" s="107">
        <f t="shared" si="36"/>
        <v>38200</v>
      </c>
      <c r="J353" s="137"/>
    </row>
    <row r="354" spans="1:10" ht="12.75" customHeight="1">
      <c r="A354" s="15" t="s">
        <v>134</v>
      </c>
      <c r="B354" s="1" t="s">
        <v>300</v>
      </c>
      <c r="C354" s="1" t="s">
        <v>41</v>
      </c>
      <c r="D354" s="1" t="s">
        <v>52</v>
      </c>
      <c r="E354" s="1" t="s">
        <v>122</v>
      </c>
      <c r="F354" s="17" t="s">
        <v>133</v>
      </c>
      <c r="G354" s="111">
        <v>50000</v>
      </c>
      <c r="H354" s="111">
        <v>-11800</v>
      </c>
      <c r="I354" s="107">
        <f t="shared" si="36"/>
        <v>38200</v>
      </c>
      <c r="J354" s="137"/>
    </row>
    <row r="355" spans="1:10" ht="12.75" customHeight="1">
      <c r="A355" s="15" t="s">
        <v>128</v>
      </c>
      <c r="B355" s="1" t="s">
        <v>300</v>
      </c>
      <c r="C355" s="1" t="s">
        <v>41</v>
      </c>
      <c r="D355" s="1" t="s">
        <v>52</v>
      </c>
      <c r="E355" s="1" t="s">
        <v>42</v>
      </c>
      <c r="F355" s="17"/>
      <c r="G355" s="111"/>
      <c r="H355" s="111">
        <f>H356</f>
        <v>11800</v>
      </c>
      <c r="I355" s="107">
        <f t="shared" si="36"/>
        <v>11800</v>
      </c>
      <c r="J355" s="137"/>
    </row>
    <row r="356" spans="1:10" ht="43.5" customHeight="1">
      <c r="A356" s="7" t="s">
        <v>101</v>
      </c>
      <c r="B356" s="1" t="s">
        <v>300</v>
      </c>
      <c r="C356" s="1" t="s">
        <v>41</v>
      </c>
      <c r="D356" s="1" t="s">
        <v>52</v>
      </c>
      <c r="E356" s="1" t="s">
        <v>43</v>
      </c>
      <c r="F356" s="17"/>
      <c r="G356" s="111"/>
      <c r="H356" s="111">
        <f>H357</f>
        <v>11800</v>
      </c>
      <c r="I356" s="107">
        <f t="shared" si="36"/>
        <v>11800</v>
      </c>
      <c r="J356" s="137"/>
    </row>
    <row r="357" spans="1:10" ht="27.75" customHeight="1">
      <c r="A357" s="16" t="s">
        <v>493</v>
      </c>
      <c r="B357" s="1" t="s">
        <v>300</v>
      </c>
      <c r="C357" s="1" t="s">
        <v>41</v>
      </c>
      <c r="D357" s="1" t="s">
        <v>52</v>
      </c>
      <c r="E357" s="1" t="s">
        <v>491</v>
      </c>
      <c r="F357" s="17"/>
      <c r="G357" s="111"/>
      <c r="H357" s="111">
        <f>H358</f>
        <v>11800</v>
      </c>
      <c r="I357" s="107">
        <f t="shared" si="36"/>
        <v>11800</v>
      </c>
      <c r="J357" s="137"/>
    </row>
    <row r="358" spans="1:10" ht="12.75" customHeight="1">
      <c r="A358" s="15" t="s">
        <v>492</v>
      </c>
      <c r="B358" s="1" t="s">
        <v>300</v>
      </c>
      <c r="C358" s="1" t="s">
        <v>41</v>
      </c>
      <c r="D358" s="1" t="s">
        <v>52</v>
      </c>
      <c r="E358" s="1" t="s">
        <v>494</v>
      </c>
      <c r="F358" s="17" t="s">
        <v>407</v>
      </c>
      <c r="G358" s="111"/>
      <c r="H358" s="111">
        <v>11800</v>
      </c>
      <c r="I358" s="107">
        <f t="shared" si="36"/>
        <v>11800</v>
      </c>
      <c r="J358" s="137"/>
    </row>
    <row r="359" spans="1:10" ht="12.75">
      <c r="A359" s="28"/>
      <c r="B359" s="1"/>
      <c r="C359" s="1"/>
      <c r="D359" s="1"/>
      <c r="E359" s="1"/>
      <c r="F359" s="17"/>
      <c r="G359" s="111"/>
      <c r="H359" s="111"/>
      <c r="I359" s="111"/>
      <c r="J359" s="136"/>
    </row>
    <row r="360" spans="1:10" ht="12.75">
      <c r="A360" s="38" t="s">
        <v>123</v>
      </c>
      <c r="B360" s="18" t="s">
        <v>300</v>
      </c>
      <c r="C360" s="18" t="s">
        <v>41</v>
      </c>
      <c r="D360" s="18" t="s">
        <v>88</v>
      </c>
      <c r="E360" s="1"/>
      <c r="F360" s="17"/>
      <c r="G360" s="109">
        <f>SUM(G361)</f>
        <v>100000</v>
      </c>
      <c r="H360" s="109">
        <f>SUM(H361)</f>
        <v>0</v>
      </c>
      <c r="I360" s="109">
        <f>SUM(G360:H360)</f>
        <v>100000</v>
      </c>
      <c r="J360" s="134"/>
    </row>
    <row r="361" spans="1:10" ht="12.75">
      <c r="A361" s="2" t="s">
        <v>147</v>
      </c>
      <c r="B361" s="1" t="s">
        <v>300</v>
      </c>
      <c r="C361" s="1" t="s">
        <v>41</v>
      </c>
      <c r="D361" s="1" t="s">
        <v>88</v>
      </c>
      <c r="E361" s="1" t="s">
        <v>148</v>
      </c>
      <c r="F361" s="17"/>
      <c r="G361" s="107">
        <f>SUM(G362)</f>
        <v>100000</v>
      </c>
      <c r="H361" s="107">
        <f>SUM(H362)</f>
        <v>0</v>
      </c>
      <c r="I361" s="107">
        <f>SUM(G361:H361)</f>
        <v>100000</v>
      </c>
      <c r="J361" s="137"/>
    </row>
    <row r="362" spans="1:10" ht="38.25">
      <c r="A362" s="7" t="s">
        <v>301</v>
      </c>
      <c r="B362" s="1" t="s">
        <v>300</v>
      </c>
      <c r="C362" s="1" t="s">
        <v>93</v>
      </c>
      <c r="D362" s="1" t="s">
        <v>88</v>
      </c>
      <c r="E362" s="1" t="s">
        <v>222</v>
      </c>
      <c r="F362" s="17"/>
      <c r="G362" s="107">
        <f>G363</f>
        <v>100000</v>
      </c>
      <c r="H362" s="107">
        <f>SUM(H363:H364)</f>
        <v>0</v>
      </c>
      <c r="I362" s="107">
        <f>SUM(G362:H362)</f>
        <v>100000</v>
      </c>
      <c r="J362" s="137"/>
    </row>
    <row r="363" spans="1:10" ht="12.75" customHeight="1">
      <c r="A363" s="15" t="s">
        <v>134</v>
      </c>
      <c r="B363" s="1" t="s">
        <v>300</v>
      </c>
      <c r="C363" s="1" t="s">
        <v>93</v>
      </c>
      <c r="D363" s="1" t="s">
        <v>88</v>
      </c>
      <c r="E363" s="1" t="s">
        <v>222</v>
      </c>
      <c r="F363" s="17" t="s">
        <v>133</v>
      </c>
      <c r="G363" s="107">
        <v>100000</v>
      </c>
      <c r="H363" s="107">
        <v>-20000</v>
      </c>
      <c r="I363" s="107">
        <f>SUM(G363:H363)</f>
        <v>80000</v>
      </c>
      <c r="J363" s="137"/>
    </row>
    <row r="364" spans="1:10" ht="12.75" customHeight="1">
      <c r="A364" s="2" t="s">
        <v>129</v>
      </c>
      <c r="B364" s="1" t="s">
        <v>300</v>
      </c>
      <c r="C364" s="1" t="s">
        <v>93</v>
      </c>
      <c r="D364" s="1" t="s">
        <v>88</v>
      </c>
      <c r="E364" s="1" t="s">
        <v>222</v>
      </c>
      <c r="F364" s="17" t="s">
        <v>130</v>
      </c>
      <c r="G364" s="107"/>
      <c r="H364" s="107">
        <v>20000</v>
      </c>
      <c r="I364" s="107">
        <f>SUM(G364:H364)</f>
        <v>20000</v>
      </c>
      <c r="J364" s="137"/>
    </row>
    <row r="365" spans="1:10" ht="12.75">
      <c r="A365" s="28"/>
      <c r="B365" s="1"/>
      <c r="C365" s="1"/>
      <c r="D365" s="1"/>
      <c r="E365" s="1"/>
      <c r="F365" s="17"/>
      <c r="G365" s="111"/>
      <c r="H365" s="111"/>
      <c r="I365" s="111"/>
      <c r="J365" s="136"/>
    </row>
    <row r="366" spans="1:10" ht="15.75">
      <c r="A366" s="34" t="s">
        <v>53</v>
      </c>
      <c r="B366" s="39" t="s">
        <v>300</v>
      </c>
      <c r="C366" s="39" t="s">
        <v>54</v>
      </c>
      <c r="D366" s="3"/>
      <c r="E366" s="3"/>
      <c r="F366" s="20"/>
      <c r="G366" s="108">
        <f>SUM(G367+G381+G419+G399)</f>
        <v>23571027.36</v>
      </c>
      <c r="H366" s="108">
        <f>SUM(H367+H381+H419+H399)</f>
        <v>-335770</v>
      </c>
      <c r="I366" s="108">
        <f>SUM(G366:H366)</f>
        <v>23235257.36</v>
      </c>
      <c r="J366" s="133"/>
    </row>
    <row r="367" spans="1:10" ht="12.75">
      <c r="A367" s="4" t="s">
        <v>126</v>
      </c>
      <c r="B367" s="18" t="s">
        <v>300</v>
      </c>
      <c r="C367" s="18" t="s">
        <v>54</v>
      </c>
      <c r="D367" s="18" t="s">
        <v>57</v>
      </c>
      <c r="E367" s="1"/>
      <c r="F367" s="17"/>
      <c r="G367" s="109">
        <f>SUM(G368)</f>
        <v>644462.35</v>
      </c>
      <c r="H367" s="109">
        <f>SUM(H368)</f>
        <v>14230</v>
      </c>
      <c r="I367" s="109">
        <f>SUM(G367:H367)</f>
        <v>658692.35</v>
      </c>
      <c r="J367" s="134"/>
    </row>
    <row r="368" spans="1:10" ht="12.75">
      <c r="A368" s="7" t="s">
        <v>6</v>
      </c>
      <c r="B368" s="1" t="s">
        <v>300</v>
      </c>
      <c r="C368" s="1" t="s">
        <v>54</v>
      </c>
      <c r="D368" s="1" t="s">
        <v>57</v>
      </c>
      <c r="E368" s="1" t="s">
        <v>7</v>
      </c>
      <c r="F368" s="17"/>
      <c r="G368" s="107">
        <f>G369+G375+G373</f>
        <v>644462.35</v>
      </c>
      <c r="H368" s="107">
        <f>H369+H375+H373</f>
        <v>14230</v>
      </c>
      <c r="I368" s="107">
        <f aca="true" t="shared" si="37" ref="I368:I379">SUM(G368:H368)</f>
        <v>658692.35</v>
      </c>
      <c r="J368" s="137"/>
    </row>
    <row r="369" spans="1:10" ht="12.75" customHeight="1">
      <c r="A369" s="2" t="s">
        <v>8</v>
      </c>
      <c r="B369" s="22" t="s">
        <v>300</v>
      </c>
      <c r="C369" s="22" t="s">
        <v>54</v>
      </c>
      <c r="D369" s="22" t="s">
        <v>57</v>
      </c>
      <c r="E369" s="22" t="s">
        <v>9</v>
      </c>
      <c r="F369" s="29"/>
      <c r="G369" s="111">
        <f>SUM(G370:G372)</f>
        <v>444212.35</v>
      </c>
      <c r="H369" s="111">
        <f>SUM(H370:H372)</f>
        <v>14230</v>
      </c>
      <c r="I369" s="107">
        <f t="shared" si="37"/>
        <v>458442.35</v>
      </c>
      <c r="J369" s="137"/>
    </row>
    <row r="370" spans="1:10" ht="12.75" customHeight="1">
      <c r="A370" s="2" t="s">
        <v>250</v>
      </c>
      <c r="B370" s="1" t="s">
        <v>300</v>
      </c>
      <c r="C370" s="1" t="s">
        <v>54</v>
      </c>
      <c r="D370" s="1" t="s">
        <v>57</v>
      </c>
      <c r="E370" s="22" t="s">
        <v>9</v>
      </c>
      <c r="F370" s="17" t="s">
        <v>249</v>
      </c>
      <c r="G370" s="111">
        <f>83000-35000</f>
        <v>48000</v>
      </c>
      <c r="H370" s="111">
        <v>230</v>
      </c>
      <c r="I370" s="107">
        <f t="shared" si="37"/>
        <v>48230</v>
      </c>
      <c r="J370" s="137"/>
    </row>
    <row r="371" spans="1:10" ht="12.75">
      <c r="A371" s="2" t="s">
        <v>251</v>
      </c>
      <c r="B371" s="1" t="s">
        <v>300</v>
      </c>
      <c r="C371" s="1" t="s">
        <v>54</v>
      </c>
      <c r="D371" s="1" t="s">
        <v>57</v>
      </c>
      <c r="E371" s="22" t="s">
        <v>9</v>
      </c>
      <c r="F371" s="17" t="s">
        <v>252</v>
      </c>
      <c r="G371" s="111">
        <f>50000-20000</f>
        <v>30000</v>
      </c>
      <c r="H371" s="111">
        <v>14000</v>
      </c>
      <c r="I371" s="107">
        <f t="shared" si="37"/>
        <v>44000</v>
      </c>
      <c r="J371" s="137"/>
    </row>
    <row r="372" spans="1:10" ht="25.5">
      <c r="A372" s="2" t="s">
        <v>334</v>
      </c>
      <c r="B372" s="1" t="s">
        <v>300</v>
      </c>
      <c r="C372" s="1" t="s">
        <v>54</v>
      </c>
      <c r="D372" s="1" t="s">
        <v>57</v>
      </c>
      <c r="E372" s="22" t="s">
        <v>9</v>
      </c>
      <c r="F372" s="17" t="s">
        <v>335</v>
      </c>
      <c r="G372" s="111">
        <v>366212.35</v>
      </c>
      <c r="H372" s="111"/>
      <c r="I372" s="107">
        <f t="shared" si="37"/>
        <v>366212.35</v>
      </c>
      <c r="J372" s="137"/>
    </row>
    <row r="373" spans="1:10" ht="38.25">
      <c r="A373" s="139" t="s">
        <v>471</v>
      </c>
      <c r="B373" s="1" t="s">
        <v>300</v>
      </c>
      <c r="C373" s="1" t="s">
        <v>54</v>
      </c>
      <c r="D373" s="1" t="s">
        <v>57</v>
      </c>
      <c r="E373" s="22" t="s">
        <v>472</v>
      </c>
      <c r="F373" s="17"/>
      <c r="G373" s="111">
        <f>G374</f>
        <v>200</v>
      </c>
      <c r="H373" s="111">
        <f>H374</f>
        <v>0</v>
      </c>
      <c r="I373" s="107">
        <f t="shared" si="37"/>
        <v>200</v>
      </c>
      <c r="J373" s="137"/>
    </row>
    <row r="374" spans="1:10" ht="12.75">
      <c r="A374" s="2" t="s">
        <v>66</v>
      </c>
      <c r="B374" s="1" t="s">
        <v>300</v>
      </c>
      <c r="C374" s="1" t="s">
        <v>54</v>
      </c>
      <c r="D374" s="1" t="s">
        <v>57</v>
      </c>
      <c r="E374" s="22" t="s">
        <v>472</v>
      </c>
      <c r="F374" s="17" t="s">
        <v>36</v>
      </c>
      <c r="G374" s="111">
        <v>200</v>
      </c>
      <c r="H374" s="111"/>
      <c r="I374" s="107">
        <f t="shared" si="37"/>
        <v>200</v>
      </c>
      <c r="J374" s="137"/>
    </row>
    <row r="375" spans="1:10" ht="12.75">
      <c r="A375" s="2" t="s">
        <v>244</v>
      </c>
      <c r="B375" s="1" t="s">
        <v>300</v>
      </c>
      <c r="C375" s="1" t="s">
        <v>54</v>
      </c>
      <c r="D375" s="1" t="s">
        <v>57</v>
      </c>
      <c r="E375" s="22" t="s">
        <v>243</v>
      </c>
      <c r="F375" s="17"/>
      <c r="G375" s="111">
        <f>SUM(G376+G377)</f>
        <v>200050</v>
      </c>
      <c r="H375" s="111">
        <f>SUM(H376+H377)</f>
        <v>0</v>
      </c>
      <c r="I375" s="107">
        <f t="shared" si="37"/>
        <v>200050</v>
      </c>
      <c r="J375" s="137"/>
    </row>
    <row r="376" spans="1:10" ht="12.75">
      <c r="A376" s="2" t="s">
        <v>67</v>
      </c>
      <c r="B376" s="1" t="s">
        <v>300</v>
      </c>
      <c r="C376" s="1" t="s">
        <v>54</v>
      </c>
      <c r="D376" s="1" t="s">
        <v>57</v>
      </c>
      <c r="E376" s="22" t="s">
        <v>243</v>
      </c>
      <c r="F376" s="17" t="s">
        <v>60</v>
      </c>
      <c r="G376" s="111">
        <v>200000</v>
      </c>
      <c r="H376" s="111"/>
      <c r="I376" s="107">
        <f t="shared" si="37"/>
        <v>200000</v>
      </c>
      <c r="J376" s="137"/>
    </row>
    <row r="377" spans="1:10" ht="25.5">
      <c r="A377" s="139" t="s">
        <v>456</v>
      </c>
      <c r="B377" s="1" t="s">
        <v>300</v>
      </c>
      <c r="C377" s="1" t="s">
        <v>54</v>
      </c>
      <c r="D377" s="1" t="s">
        <v>57</v>
      </c>
      <c r="E377" s="22" t="s">
        <v>457</v>
      </c>
      <c r="F377" s="17"/>
      <c r="G377" s="111">
        <f>G378</f>
        <v>50</v>
      </c>
      <c r="H377" s="111">
        <f>H378</f>
        <v>0</v>
      </c>
      <c r="I377" s="107">
        <f t="shared" si="37"/>
        <v>50</v>
      </c>
      <c r="J377" s="137"/>
    </row>
    <row r="378" spans="1:10" ht="38.25">
      <c r="A378" s="139" t="s">
        <v>473</v>
      </c>
      <c r="B378" s="1" t="s">
        <v>300</v>
      </c>
      <c r="C378" s="1" t="s">
        <v>54</v>
      </c>
      <c r="D378" s="1" t="s">
        <v>57</v>
      </c>
      <c r="E378" s="22" t="s">
        <v>458</v>
      </c>
      <c r="F378" s="17"/>
      <c r="G378" s="111">
        <f>G379</f>
        <v>50</v>
      </c>
      <c r="H378" s="111">
        <f>H379</f>
        <v>0</v>
      </c>
      <c r="I378" s="107">
        <f t="shared" si="37"/>
        <v>50</v>
      </c>
      <c r="J378" s="137"/>
    </row>
    <row r="379" spans="1:10" ht="12.75">
      <c r="A379" s="2" t="s">
        <v>66</v>
      </c>
      <c r="B379" s="1" t="s">
        <v>300</v>
      </c>
      <c r="C379" s="1" t="s">
        <v>54</v>
      </c>
      <c r="D379" s="1" t="s">
        <v>57</v>
      </c>
      <c r="E379" s="22" t="s">
        <v>458</v>
      </c>
      <c r="F379" s="17" t="s">
        <v>36</v>
      </c>
      <c r="G379" s="111">
        <v>50</v>
      </c>
      <c r="H379" s="111"/>
      <c r="I379" s="107">
        <f t="shared" si="37"/>
        <v>50</v>
      </c>
      <c r="J379" s="137"/>
    </row>
    <row r="380" spans="1:10" ht="12.75">
      <c r="A380" s="2"/>
      <c r="B380" s="1"/>
      <c r="C380" s="1"/>
      <c r="D380" s="1"/>
      <c r="E380" s="22"/>
      <c r="F380" s="17"/>
      <c r="G380" s="111"/>
      <c r="H380" s="111"/>
      <c r="I380" s="111"/>
      <c r="J380" s="136"/>
    </row>
    <row r="381" spans="1:10" ht="12.75">
      <c r="A381" s="4" t="s">
        <v>74</v>
      </c>
      <c r="B381" s="18" t="s">
        <v>300</v>
      </c>
      <c r="C381" s="18" t="s">
        <v>54</v>
      </c>
      <c r="D381" s="18" t="s">
        <v>84</v>
      </c>
      <c r="E381" s="1"/>
      <c r="F381" s="17"/>
      <c r="G381" s="109">
        <f>SUM(G382+G385+G389+G394)</f>
        <v>10026000</v>
      </c>
      <c r="H381" s="109">
        <f>SUM(H382+H385+H389+H394)</f>
        <v>-350000</v>
      </c>
      <c r="I381" s="109">
        <f>SUM(G381:H381)</f>
        <v>9676000</v>
      </c>
      <c r="J381" s="134"/>
    </row>
    <row r="382" spans="1:10" ht="12.75">
      <c r="A382" s="2" t="s">
        <v>304</v>
      </c>
      <c r="B382" s="1" t="s">
        <v>300</v>
      </c>
      <c r="C382" s="87" t="s">
        <v>54</v>
      </c>
      <c r="D382" s="87" t="s">
        <v>84</v>
      </c>
      <c r="E382" s="1" t="s">
        <v>305</v>
      </c>
      <c r="F382" s="17"/>
      <c r="G382" s="107">
        <f>G383</f>
        <v>200000</v>
      </c>
      <c r="H382" s="107">
        <f>H383</f>
        <v>-50000</v>
      </c>
      <c r="I382" s="107">
        <f aca="true" t="shared" si="38" ref="I382:I397">SUM(G382:H382)</f>
        <v>150000</v>
      </c>
      <c r="J382" s="137"/>
    </row>
    <row r="383" spans="1:10" ht="25.5">
      <c r="A383" s="2" t="s">
        <v>306</v>
      </c>
      <c r="B383" s="1" t="s">
        <v>300</v>
      </c>
      <c r="C383" s="87" t="s">
        <v>54</v>
      </c>
      <c r="D383" s="87" t="s">
        <v>84</v>
      </c>
      <c r="E383" s="1" t="s">
        <v>307</v>
      </c>
      <c r="F383" s="17"/>
      <c r="G383" s="107">
        <f>G384</f>
        <v>200000</v>
      </c>
      <c r="H383" s="107">
        <f>H384</f>
        <v>-50000</v>
      </c>
      <c r="I383" s="107">
        <f t="shared" si="38"/>
        <v>150000</v>
      </c>
      <c r="J383" s="137"/>
    </row>
    <row r="384" spans="1:10" ht="12.75">
      <c r="A384" s="2" t="s">
        <v>67</v>
      </c>
      <c r="B384" s="1" t="s">
        <v>300</v>
      </c>
      <c r="C384" s="87" t="s">
        <v>54</v>
      </c>
      <c r="D384" s="87" t="s">
        <v>84</v>
      </c>
      <c r="E384" s="1" t="s">
        <v>307</v>
      </c>
      <c r="F384" s="17" t="s">
        <v>60</v>
      </c>
      <c r="G384" s="107">
        <v>200000</v>
      </c>
      <c r="H384" s="107">
        <v>-50000</v>
      </c>
      <c r="I384" s="107">
        <f t="shared" si="38"/>
        <v>150000</v>
      </c>
      <c r="J384" s="137"/>
    </row>
    <row r="385" spans="1:10" ht="12.75">
      <c r="A385" s="2" t="s">
        <v>140</v>
      </c>
      <c r="B385" s="1" t="s">
        <v>300</v>
      </c>
      <c r="C385" s="87" t="s">
        <v>54</v>
      </c>
      <c r="D385" s="87" t="s">
        <v>84</v>
      </c>
      <c r="E385" s="1" t="s">
        <v>141</v>
      </c>
      <c r="F385" s="17"/>
      <c r="G385" s="107">
        <f>G386</f>
        <v>4900000</v>
      </c>
      <c r="H385" s="107">
        <f>H386</f>
        <v>0</v>
      </c>
      <c r="I385" s="107">
        <f t="shared" si="38"/>
        <v>4900000</v>
      </c>
      <c r="J385" s="137"/>
    </row>
    <row r="386" spans="1:10" ht="38.25">
      <c r="A386" s="147" t="s">
        <v>464</v>
      </c>
      <c r="B386" s="1" t="s">
        <v>300</v>
      </c>
      <c r="C386" s="87" t="s">
        <v>54</v>
      </c>
      <c r="D386" s="87" t="s">
        <v>84</v>
      </c>
      <c r="E386" s="1" t="s">
        <v>465</v>
      </c>
      <c r="F386" s="17"/>
      <c r="G386" s="107">
        <f>G387+G388</f>
        <v>4900000</v>
      </c>
      <c r="H386" s="107">
        <f>H387+H388</f>
        <v>0</v>
      </c>
      <c r="I386" s="107">
        <f>I387+I388</f>
        <v>4900000</v>
      </c>
      <c r="J386" s="137"/>
    </row>
    <row r="387" spans="1:10" ht="63.75">
      <c r="A387" s="7" t="s">
        <v>313</v>
      </c>
      <c r="B387" s="1" t="s">
        <v>300</v>
      </c>
      <c r="C387" s="87" t="s">
        <v>54</v>
      </c>
      <c r="D387" s="87" t="s">
        <v>84</v>
      </c>
      <c r="E387" s="1" t="s">
        <v>465</v>
      </c>
      <c r="F387" s="17" t="s">
        <v>264</v>
      </c>
      <c r="G387" s="107">
        <v>4300000</v>
      </c>
      <c r="H387" s="107"/>
      <c r="I387" s="107">
        <f t="shared" si="38"/>
        <v>4300000</v>
      </c>
      <c r="J387" s="137"/>
    </row>
    <row r="388" spans="1:10" ht="12.75">
      <c r="A388" s="2" t="s">
        <v>142</v>
      </c>
      <c r="B388" s="1" t="s">
        <v>300</v>
      </c>
      <c r="C388" s="87" t="s">
        <v>54</v>
      </c>
      <c r="D388" s="87" t="s">
        <v>84</v>
      </c>
      <c r="E388" s="1" t="s">
        <v>465</v>
      </c>
      <c r="F388" s="17" t="s">
        <v>143</v>
      </c>
      <c r="G388" s="107">
        <v>600000</v>
      </c>
      <c r="H388" s="107"/>
      <c r="I388" s="107">
        <f t="shared" si="38"/>
        <v>600000</v>
      </c>
      <c r="J388" s="137"/>
    </row>
    <row r="389" spans="1:10" ht="12.75">
      <c r="A389" s="15" t="s">
        <v>128</v>
      </c>
      <c r="B389" s="1" t="s">
        <v>300</v>
      </c>
      <c r="C389" s="1" t="s">
        <v>54</v>
      </c>
      <c r="D389" s="1" t="s">
        <v>84</v>
      </c>
      <c r="E389" s="1" t="s">
        <v>42</v>
      </c>
      <c r="F389" s="17"/>
      <c r="G389" s="107">
        <f aca="true" t="shared" si="39" ref="G389:H391">G390</f>
        <v>26000</v>
      </c>
      <c r="H389" s="107">
        <f t="shared" si="39"/>
        <v>0</v>
      </c>
      <c r="I389" s="107">
        <f t="shared" si="38"/>
        <v>26000</v>
      </c>
      <c r="J389" s="137"/>
    </row>
    <row r="390" spans="1:10" ht="39" customHeight="1">
      <c r="A390" s="7" t="s">
        <v>101</v>
      </c>
      <c r="B390" s="1" t="s">
        <v>300</v>
      </c>
      <c r="C390" s="1" t="s">
        <v>54</v>
      </c>
      <c r="D390" s="1" t="s">
        <v>84</v>
      </c>
      <c r="E390" s="1" t="s">
        <v>43</v>
      </c>
      <c r="F390" s="17"/>
      <c r="G390" s="107">
        <f t="shared" si="39"/>
        <v>26000</v>
      </c>
      <c r="H390" s="107">
        <f t="shared" si="39"/>
        <v>0</v>
      </c>
      <c r="I390" s="107">
        <f t="shared" si="38"/>
        <v>26000</v>
      </c>
      <c r="J390" s="137"/>
    </row>
    <row r="391" spans="1:10" ht="12.75">
      <c r="A391" s="2" t="s">
        <v>460</v>
      </c>
      <c r="B391" s="1" t="s">
        <v>300</v>
      </c>
      <c r="C391" s="87" t="s">
        <v>54</v>
      </c>
      <c r="D391" s="87" t="s">
        <v>84</v>
      </c>
      <c r="E391" s="1" t="s">
        <v>461</v>
      </c>
      <c r="F391" s="17"/>
      <c r="G391" s="107">
        <f t="shared" si="39"/>
        <v>26000</v>
      </c>
      <c r="H391" s="107">
        <f t="shared" si="39"/>
        <v>0</v>
      </c>
      <c r="I391" s="107">
        <f t="shared" si="38"/>
        <v>26000</v>
      </c>
      <c r="J391" s="137"/>
    </row>
    <row r="392" spans="1:10" ht="12.75">
      <c r="A392" s="15" t="s">
        <v>408</v>
      </c>
      <c r="B392" s="1" t="s">
        <v>300</v>
      </c>
      <c r="C392" s="87" t="s">
        <v>54</v>
      </c>
      <c r="D392" s="87" t="s">
        <v>84</v>
      </c>
      <c r="E392" s="1" t="s">
        <v>461</v>
      </c>
      <c r="F392" s="17" t="s">
        <v>407</v>
      </c>
      <c r="G392" s="107">
        <v>26000</v>
      </c>
      <c r="H392" s="107"/>
      <c r="I392" s="107">
        <f t="shared" si="38"/>
        <v>26000</v>
      </c>
      <c r="J392" s="137"/>
    </row>
    <row r="393" spans="1:10" ht="12.75">
      <c r="A393" s="2"/>
      <c r="B393" s="1"/>
      <c r="C393" s="87"/>
      <c r="D393" s="87"/>
      <c r="E393" s="1"/>
      <c r="F393" s="17"/>
      <c r="G393" s="107"/>
      <c r="H393" s="107"/>
      <c r="I393" s="107"/>
      <c r="J393" s="137"/>
    </row>
    <row r="394" spans="1:10" ht="12.75">
      <c r="A394" s="2" t="s">
        <v>147</v>
      </c>
      <c r="B394" s="1" t="s">
        <v>300</v>
      </c>
      <c r="C394" s="1" t="s">
        <v>54</v>
      </c>
      <c r="D394" s="1" t="s">
        <v>84</v>
      </c>
      <c r="E394" s="1" t="s">
        <v>148</v>
      </c>
      <c r="F394" s="17"/>
      <c r="G394" s="111">
        <f>+G395</f>
        <v>4900000</v>
      </c>
      <c r="H394" s="111">
        <f>+H395</f>
        <v>-300000</v>
      </c>
      <c r="I394" s="107">
        <f t="shared" si="38"/>
        <v>4600000</v>
      </c>
      <c r="J394" s="137"/>
    </row>
    <row r="395" spans="1:10" ht="25.5" customHeight="1">
      <c r="A395" s="2" t="s">
        <v>278</v>
      </c>
      <c r="B395" s="1" t="s">
        <v>300</v>
      </c>
      <c r="C395" s="1" t="s">
        <v>54</v>
      </c>
      <c r="D395" s="1" t="s">
        <v>84</v>
      </c>
      <c r="E395" s="1" t="s">
        <v>277</v>
      </c>
      <c r="F395" s="17"/>
      <c r="G395" s="111">
        <f>SUM(G396:G397)</f>
        <v>4900000</v>
      </c>
      <c r="H395" s="111">
        <f>SUM(H396:H397)</f>
        <v>-300000</v>
      </c>
      <c r="I395" s="107">
        <f t="shared" si="38"/>
        <v>4600000</v>
      </c>
      <c r="J395" s="137"/>
    </row>
    <row r="396" spans="1:10" ht="12.75">
      <c r="A396" s="15" t="s">
        <v>134</v>
      </c>
      <c r="B396" s="1" t="s">
        <v>300</v>
      </c>
      <c r="C396" s="1" t="s">
        <v>54</v>
      </c>
      <c r="D396" s="1" t="s">
        <v>84</v>
      </c>
      <c r="E396" s="1" t="s">
        <v>277</v>
      </c>
      <c r="F396" s="17" t="s">
        <v>133</v>
      </c>
      <c r="G396" s="111">
        <v>300000</v>
      </c>
      <c r="H396" s="111">
        <v>-300000</v>
      </c>
      <c r="I396" s="107">
        <f t="shared" si="38"/>
        <v>0</v>
      </c>
      <c r="J396" s="137"/>
    </row>
    <row r="397" spans="1:10" ht="12.75">
      <c r="A397" s="2" t="s">
        <v>142</v>
      </c>
      <c r="B397" s="1" t="s">
        <v>300</v>
      </c>
      <c r="C397" s="1" t="s">
        <v>54</v>
      </c>
      <c r="D397" s="1" t="s">
        <v>84</v>
      </c>
      <c r="E397" s="1" t="s">
        <v>277</v>
      </c>
      <c r="F397" s="17" t="s">
        <v>143</v>
      </c>
      <c r="G397" s="111">
        <v>4600000</v>
      </c>
      <c r="H397" s="111"/>
      <c r="I397" s="107">
        <f t="shared" si="38"/>
        <v>4600000</v>
      </c>
      <c r="J397" s="137"/>
    </row>
    <row r="398" spans="1:10" ht="12.75">
      <c r="A398" s="2"/>
      <c r="B398" s="1"/>
      <c r="C398" s="1"/>
      <c r="D398" s="1"/>
      <c r="E398" s="1"/>
      <c r="F398" s="17"/>
      <c r="G398" s="111"/>
      <c r="H398" s="111"/>
      <c r="I398" s="111"/>
      <c r="J398" s="136"/>
    </row>
    <row r="399" spans="1:10" ht="12.75">
      <c r="A399" s="4" t="s">
        <v>257</v>
      </c>
      <c r="B399" s="18" t="s">
        <v>300</v>
      </c>
      <c r="C399" s="18" t="s">
        <v>54</v>
      </c>
      <c r="D399" s="18" t="s">
        <v>52</v>
      </c>
      <c r="E399" s="1"/>
      <c r="F399" s="17"/>
      <c r="G399" s="109">
        <f>SUM(G400+G408)</f>
        <v>10126305</v>
      </c>
      <c r="H399" s="109">
        <f>SUM(H400+H408)</f>
        <v>0</v>
      </c>
      <c r="I399" s="109">
        <f>SUM(G399:H399)</f>
        <v>10126305</v>
      </c>
      <c r="J399" s="134"/>
    </row>
    <row r="400" spans="1:10" ht="12.75">
      <c r="A400" s="2" t="s">
        <v>259</v>
      </c>
      <c r="B400" s="1" t="s">
        <v>300</v>
      </c>
      <c r="C400" s="1" t="s">
        <v>54</v>
      </c>
      <c r="D400" s="1" t="s">
        <v>52</v>
      </c>
      <c r="E400" s="1" t="s">
        <v>258</v>
      </c>
      <c r="F400" s="17"/>
      <c r="G400" s="111">
        <f>SUM(G401+G406)</f>
        <v>308805</v>
      </c>
      <c r="H400" s="111">
        <f>SUM(H401+H406)</f>
        <v>0</v>
      </c>
      <c r="I400" s="107">
        <f aca="true" t="shared" si="40" ref="I400:I417">SUM(G400:H400)</f>
        <v>308805</v>
      </c>
      <c r="J400" s="137"/>
    </row>
    <row r="401" spans="1:10" ht="12.75">
      <c r="A401" s="2" t="s">
        <v>261</v>
      </c>
      <c r="B401" s="1" t="s">
        <v>300</v>
      </c>
      <c r="C401" s="1" t="s">
        <v>54</v>
      </c>
      <c r="D401" s="1" t="s">
        <v>52</v>
      </c>
      <c r="E401" s="1" t="s">
        <v>260</v>
      </c>
      <c r="F401" s="17"/>
      <c r="G401" s="111">
        <f>G402+G404</f>
        <v>150000</v>
      </c>
      <c r="H401" s="111">
        <f>H402+H404</f>
        <v>0</v>
      </c>
      <c r="I401" s="107">
        <f t="shared" si="40"/>
        <v>150000</v>
      </c>
      <c r="J401" s="137"/>
    </row>
    <row r="402" spans="1:10" ht="12.75">
      <c r="A402" s="2" t="s">
        <v>274</v>
      </c>
      <c r="B402" s="1" t="s">
        <v>300</v>
      </c>
      <c r="C402" s="1" t="s">
        <v>54</v>
      </c>
      <c r="D402" s="1" t="s">
        <v>52</v>
      </c>
      <c r="E402" s="1" t="s">
        <v>262</v>
      </c>
      <c r="F402" s="17"/>
      <c r="G402" s="111">
        <f>+G403</f>
        <v>100000</v>
      </c>
      <c r="H402" s="111">
        <f>+H403</f>
        <v>0</v>
      </c>
      <c r="I402" s="107">
        <f t="shared" si="40"/>
        <v>100000</v>
      </c>
      <c r="J402" s="137"/>
    </row>
    <row r="403" spans="1:10" ht="12.75">
      <c r="A403" s="15" t="s">
        <v>134</v>
      </c>
      <c r="B403" s="1" t="s">
        <v>300</v>
      </c>
      <c r="C403" s="1" t="s">
        <v>54</v>
      </c>
      <c r="D403" s="1" t="s">
        <v>52</v>
      </c>
      <c r="E403" s="1" t="s">
        <v>262</v>
      </c>
      <c r="F403" s="17" t="s">
        <v>133</v>
      </c>
      <c r="G403" s="111">
        <v>100000</v>
      </c>
      <c r="H403" s="111"/>
      <c r="I403" s="107">
        <f t="shared" si="40"/>
        <v>100000</v>
      </c>
      <c r="J403" s="137"/>
    </row>
    <row r="404" spans="1:10" ht="12.75">
      <c r="A404" s="2" t="s">
        <v>359</v>
      </c>
      <c r="B404" s="1" t="s">
        <v>300</v>
      </c>
      <c r="C404" s="1" t="s">
        <v>54</v>
      </c>
      <c r="D404" s="1" t="s">
        <v>52</v>
      </c>
      <c r="E404" s="1" t="s">
        <v>360</v>
      </c>
      <c r="F404" s="17"/>
      <c r="G404" s="111">
        <f>G405</f>
        <v>50000</v>
      </c>
      <c r="H404" s="111">
        <f>H405</f>
        <v>0</v>
      </c>
      <c r="I404" s="107">
        <f t="shared" si="40"/>
        <v>50000</v>
      </c>
      <c r="J404" s="137"/>
    </row>
    <row r="405" spans="1:10" ht="12.75">
      <c r="A405" s="15" t="s">
        <v>134</v>
      </c>
      <c r="B405" s="1" t="s">
        <v>300</v>
      </c>
      <c r="C405" s="1" t="s">
        <v>54</v>
      </c>
      <c r="D405" s="1" t="s">
        <v>52</v>
      </c>
      <c r="E405" s="1" t="s">
        <v>360</v>
      </c>
      <c r="F405" s="17" t="s">
        <v>133</v>
      </c>
      <c r="G405" s="111">
        <v>50000</v>
      </c>
      <c r="H405" s="111"/>
      <c r="I405" s="107">
        <f t="shared" si="40"/>
        <v>50000</v>
      </c>
      <c r="J405" s="137"/>
    </row>
    <row r="406" spans="1:10" ht="42" customHeight="1">
      <c r="A406" s="15" t="s">
        <v>323</v>
      </c>
      <c r="B406" s="1" t="s">
        <v>300</v>
      </c>
      <c r="C406" s="1" t="s">
        <v>54</v>
      </c>
      <c r="D406" s="1" t="s">
        <v>52</v>
      </c>
      <c r="E406" s="1" t="s">
        <v>324</v>
      </c>
      <c r="F406" s="17"/>
      <c r="G406" s="111">
        <f>G407</f>
        <v>158805</v>
      </c>
      <c r="H406" s="111">
        <f>H407</f>
        <v>0</v>
      </c>
      <c r="I406" s="107">
        <f t="shared" si="40"/>
        <v>158805</v>
      </c>
      <c r="J406" s="137"/>
    </row>
    <row r="407" spans="1:10" ht="12.75">
      <c r="A407" s="15" t="s">
        <v>134</v>
      </c>
      <c r="B407" s="1" t="s">
        <v>300</v>
      </c>
      <c r="C407" s="1" t="s">
        <v>54</v>
      </c>
      <c r="D407" s="1" t="s">
        <v>52</v>
      </c>
      <c r="E407" s="1" t="s">
        <v>324</v>
      </c>
      <c r="F407" s="17" t="s">
        <v>133</v>
      </c>
      <c r="G407" s="111">
        <v>158805</v>
      </c>
      <c r="H407" s="111"/>
      <c r="I407" s="107">
        <f t="shared" si="40"/>
        <v>158805</v>
      </c>
      <c r="J407" s="137"/>
    </row>
    <row r="408" spans="1:10" ht="12.75">
      <c r="A408" s="15" t="s">
        <v>128</v>
      </c>
      <c r="B408" s="1" t="s">
        <v>300</v>
      </c>
      <c r="C408" s="1" t="s">
        <v>54</v>
      </c>
      <c r="D408" s="1" t="s">
        <v>52</v>
      </c>
      <c r="E408" s="1" t="s">
        <v>42</v>
      </c>
      <c r="F408" s="17"/>
      <c r="G408" s="111">
        <f>G409</f>
        <v>9817500</v>
      </c>
      <c r="H408" s="111">
        <f>H409</f>
        <v>0</v>
      </c>
      <c r="I408" s="107">
        <f t="shared" si="40"/>
        <v>9817500</v>
      </c>
      <c r="J408" s="137"/>
    </row>
    <row r="409" spans="1:10" ht="38.25">
      <c r="A409" s="7" t="s">
        <v>101</v>
      </c>
      <c r="B409" s="1" t="s">
        <v>300</v>
      </c>
      <c r="C409" s="1" t="s">
        <v>54</v>
      </c>
      <c r="D409" s="1" t="s">
        <v>52</v>
      </c>
      <c r="E409" s="1" t="s">
        <v>43</v>
      </c>
      <c r="F409" s="17"/>
      <c r="G409" s="111">
        <f>SUM(G410+G413+G416)</f>
        <v>9817500</v>
      </c>
      <c r="H409" s="111">
        <f>SUM(H410+H413+H416)</f>
        <v>0</v>
      </c>
      <c r="I409" s="107">
        <f t="shared" si="40"/>
        <v>9817500</v>
      </c>
      <c r="J409" s="137"/>
    </row>
    <row r="410" spans="1:10" ht="38.25">
      <c r="A410" s="15" t="s">
        <v>316</v>
      </c>
      <c r="B410" s="1" t="s">
        <v>300</v>
      </c>
      <c r="C410" s="1" t="s">
        <v>54</v>
      </c>
      <c r="D410" s="1" t="s">
        <v>52</v>
      </c>
      <c r="E410" s="1" t="s">
        <v>308</v>
      </c>
      <c r="F410" s="17"/>
      <c r="G410" s="111">
        <f>SUM(G411:G412)</f>
        <v>1993500</v>
      </c>
      <c r="H410" s="111">
        <f>SUM(H411:H412)</f>
        <v>0</v>
      </c>
      <c r="I410" s="107">
        <f t="shared" si="40"/>
        <v>1993500</v>
      </c>
      <c r="J410" s="137"/>
    </row>
    <row r="411" spans="1:10" ht="12.75">
      <c r="A411" s="15" t="s">
        <v>134</v>
      </c>
      <c r="B411" s="1" t="s">
        <v>300</v>
      </c>
      <c r="C411" s="1" t="s">
        <v>54</v>
      </c>
      <c r="D411" s="1" t="s">
        <v>52</v>
      </c>
      <c r="E411" s="1" t="s">
        <v>308</v>
      </c>
      <c r="F411" s="17" t="s">
        <v>133</v>
      </c>
      <c r="G411" s="111">
        <v>0</v>
      </c>
      <c r="H411" s="111"/>
      <c r="I411" s="107">
        <f t="shared" si="40"/>
        <v>0</v>
      </c>
      <c r="J411" s="137"/>
    </row>
    <row r="412" spans="1:10" ht="12.75">
      <c r="A412" s="2" t="s">
        <v>129</v>
      </c>
      <c r="B412" s="1" t="s">
        <v>300</v>
      </c>
      <c r="C412" s="1" t="s">
        <v>54</v>
      </c>
      <c r="D412" s="1" t="s">
        <v>52</v>
      </c>
      <c r="E412" s="1" t="s">
        <v>308</v>
      </c>
      <c r="F412" s="17" t="s">
        <v>130</v>
      </c>
      <c r="G412" s="111">
        <v>1993500</v>
      </c>
      <c r="H412" s="111"/>
      <c r="I412" s="107">
        <f t="shared" si="40"/>
        <v>1993500</v>
      </c>
      <c r="J412" s="137"/>
    </row>
    <row r="413" spans="1:10" ht="25.5">
      <c r="A413" s="15" t="s">
        <v>309</v>
      </c>
      <c r="B413" s="1" t="s">
        <v>300</v>
      </c>
      <c r="C413" s="1" t="s">
        <v>54</v>
      </c>
      <c r="D413" s="1" t="s">
        <v>52</v>
      </c>
      <c r="E413" s="1" t="s">
        <v>310</v>
      </c>
      <c r="F413" s="17"/>
      <c r="G413" s="111">
        <f>SUM(G414:G415)</f>
        <v>6647900</v>
      </c>
      <c r="H413" s="111">
        <f>SUM(H414:H415)</f>
        <v>0</v>
      </c>
      <c r="I413" s="107">
        <f t="shared" si="40"/>
        <v>6647900</v>
      </c>
      <c r="J413" s="137"/>
    </row>
    <row r="414" spans="1:10" ht="12.75">
      <c r="A414" s="15" t="s">
        <v>134</v>
      </c>
      <c r="B414" s="1" t="s">
        <v>300</v>
      </c>
      <c r="C414" s="1" t="s">
        <v>54</v>
      </c>
      <c r="D414" s="1" t="s">
        <v>52</v>
      </c>
      <c r="E414" s="1" t="s">
        <v>310</v>
      </c>
      <c r="F414" s="17" t="s">
        <v>133</v>
      </c>
      <c r="G414" s="111">
        <v>0</v>
      </c>
      <c r="H414" s="111"/>
      <c r="I414" s="107">
        <f t="shared" si="40"/>
        <v>0</v>
      </c>
      <c r="J414" s="137"/>
    </row>
    <row r="415" spans="1:10" ht="12.75">
      <c r="A415" s="2" t="s">
        <v>129</v>
      </c>
      <c r="B415" s="1" t="s">
        <v>300</v>
      </c>
      <c r="C415" s="1" t="s">
        <v>54</v>
      </c>
      <c r="D415" s="1" t="s">
        <v>52</v>
      </c>
      <c r="E415" s="1" t="s">
        <v>310</v>
      </c>
      <c r="F415" s="17" t="s">
        <v>130</v>
      </c>
      <c r="G415" s="111">
        <v>6647900</v>
      </c>
      <c r="H415" s="111"/>
      <c r="I415" s="107">
        <f t="shared" si="40"/>
        <v>6647900</v>
      </c>
      <c r="J415" s="137"/>
    </row>
    <row r="416" spans="1:10" ht="38.25">
      <c r="A416" s="15" t="s">
        <v>311</v>
      </c>
      <c r="B416" s="1" t="s">
        <v>300</v>
      </c>
      <c r="C416" s="1" t="s">
        <v>54</v>
      </c>
      <c r="D416" s="1" t="s">
        <v>52</v>
      </c>
      <c r="E416" s="1" t="s">
        <v>312</v>
      </c>
      <c r="F416" s="17"/>
      <c r="G416" s="111">
        <f>SUM(G417:G417)</f>
        <v>1176100</v>
      </c>
      <c r="H416" s="111">
        <f>SUM(H417:H417)</f>
        <v>0</v>
      </c>
      <c r="I416" s="107">
        <f t="shared" si="40"/>
        <v>1176100</v>
      </c>
      <c r="J416" s="137"/>
    </row>
    <row r="417" spans="1:10" ht="12.75">
      <c r="A417" s="15" t="s">
        <v>134</v>
      </c>
      <c r="B417" s="1" t="s">
        <v>300</v>
      </c>
      <c r="C417" s="1" t="s">
        <v>54</v>
      </c>
      <c r="D417" s="1" t="s">
        <v>52</v>
      </c>
      <c r="E417" s="1" t="s">
        <v>312</v>
      </c>
      <c r="F417" s="17" t="s">
        <v>133</v>
      </c>
      <c r="G417" s="111">
        <v>1176100</v>
      </c>
      <c r="H417" s="111"/>
      <c r="I417" s="107">
        <f t="shared" si="40"/>
        <v>1176100</v>
      </c>
      <c r="J417" s="137"/>
    </row>
    <row r="418" spans="1:10" ht="12.75">
      <c r="A418" s="2"/>
      <c r="B418" s="1"/>
      <c r="C418" s="1"/>
      <c r="D418" s="1"/>
      <c r="E418" s="1"/>
      <c r="F418" s="17"/>
      <c r="G418" s="111"/>
      <c r="H418" s="111"/>
      <c r="I418" s="111"/>
      <c r="J418" s="136"/>
    </row>
    <row r="419" spans="1:10" ht="12.75">
      <c r="A419" s="4" t="s">
        <v>127</v>
      </c>
      <c r="B419" s="19" t="s">
        <v>300</v>
      </c>
      <c r="C419" s="19" t="s">
        <v>54</v>
      </c>
      <c r="D419" s="19" t="s">
        <v>89</v>
      </c>
      <c r="E419" s="1"/>
      <c r="F419" s="17"/>
      <c r="G419" s="109">
        <f>+G423+G435+G420+G431+G426</f>
        <v>2774260.01</v>
      </c>
      <c r="H419" s="109">
        <f>+H423+H435+H420+H431+H426</f>
        <v>0</v>
      </c>
      <c r="I419" s="109">
        <f>SUM(G419:H419)</f>
        <v>2774260.01</v>
      </c>
      <c r="J419" s="134"/>
    </row>
    <row r="420" spans="1:10" ht="25.5">
      <c r="A420" s="2" t="s">
        <v>138</v>
      </c>
      <c r="B420" s="1" t="s">
        <v>300</v>
      </c>
      <c r="C420" s="1" t="s">
        <v>54</v>
      </c>
      <c r="D420" s="1" t="s">
        <v>89</v>
      </c>
      <c r="E420" s="1" t="s">
        <v>139</v>
      </c>
      <c r="F420" s="17"/>
      <c r="G420" s="110">
        <f>+G421</f>
        <v>100000</v>
      </c>
      <c r="H420" s="110">
        <f>+H421</f>
        <v>0</v>
      </c>
      <c r="I420" s="107">
        <f aca="true" t="shared" si="41" ref="I420:I443">SUM(G420:H420)</f>
        <v>100000</v>
      </c>
      <c r="J420" s="137"/>
    </row>
    <row r="421" spans="1:10" ht="38.25">
      <c r="A421" s="15" t="s">
        <v>247</v>
      </c>
      <c r="B421" s="1" t="s">
        <v>300</v>
      </c>
      <c r="C421" s="1" t="s">
        <v>54</v>
      </c>
      <c r="D421" s="1" t="s">
        <v>89</v>
      </c>
      <c r="E421" s="1" t="s">
        <v>248</v>
      </c>
      <c r="F421" s="17"/>
      <c r="G421" s="110">
        <f>+G422</f>
        <v>100000</v>
      </c>
      <c r="H421" s="110">
        <f>+H422</f>
        <v>0</v>
      </c>
      <c r="I421" s="107">
        <f t="shared" si="41"/>
        <v>100000</v>
      </c>
      <c r="J421" s="137"/>
    </row>
    <row r="422" spans="1:10" ht="12.75">
      <c r="A422" s="2" t="s">
        <v>67</v>
      </c>
      <c r="B422" s="1" t="s">
        <v>300</v>
      </c>
      <c r="C422" s="1" t="s">
        <v>54</v>
      </c>
      <c r="D422" s="1" t="s">
        <v>89</v>
      </c>
      <c r="E422" s="1" t="s">
        <v>248</v>
      </c>
      <c r="F422" s="17" t="s">
        <v>60</v>
      </c>
      <c r="G422" s="110">
        <v>100000</v>
      </c>
      <c r="H422" s="110"/>
      <c r="I422" s="107">
        <f t="shared" si="41"/>
        <v>100000</v>
      </c>
      <c r="J422" s="137"/>
    </row>
    <row r="423" spans="1:10" ht="25.5">
      <c r="A423" s="7" t="s">
        <v>98</v>
      </c>
      <c r="B423" s="1" t="s">
        <v>300</v>
      </c>
      <c r="C423" s="1" t="s">
        <v>54</v>
      </c>
      <c r="D423" s="1" t="s">
        <v>89</v>
      </c>
      <c r="E423" s="1" t="s">
        <v>99</v>
      </c>
      <c r="F423" s="17"/>
      <c r="G423" s="107">
        <f>G424</f>
        <v>350000</v>
      </c>
      <c r="H423" s="107">
        <f>H424</f>
        <v>0</v>
      </c>
      <c r="I423" s="107">
        <f t="shared" si="41"/>
        <v>350000</v>
      </c>
      <c r="J423" s="137"/>
    </row>
    <row r="424" spans="1:10" ht="12.75" customHeight="1">
      <c r="A424" s="7" t="s">
        <v>242</v>
      </c>
      <c r="B424" s="1" t="s">
        <v>300</v>
      </c>
      <c r="C424" s="1" t="s">
        <v>54</v>
      </c>
      <c r="D424" s="1" t="s">
        <v>89</v>
      </c>
      <c r="E424" s="1" t="s">
        <v>1</v>
      </c>
      <c r="F424" s="17"/>
      <c r="G424" s="111">
        <f>G425</f>
        <v>350000</v>
      </c>
      <c r="H424" s="111">
        <f>H425</f>
        <v>0</v>
      </c>
      <c r="I424" s="107">
        <f t="shared" si="41"/>
        <v>350000</v>
      </c>
      <c r="J424" s="137"/>
    </row>
    <row r="425" spans="1:10" ht="12.75" customHeight="1">
      <c r="A425" s="15" t="s">
        <v>134</v>
      </c>
      <c r="B425" s="1" t="s">
        <v>300</v>
      </c>
      <c r="C425" s="1" t="s">
        <v>54</v>
      </c>
      <c r="D425" s="1" t="s">
        <v>89</v>
      </c>
      <c r="E425" s="1" t="s">
        <v>1</v>
      </c>
      <c r="F425" s="17" t="s">
        <v>133</v>
      </c>
      <c r="G425" s="111">
        <v>350000</v>
      </c>
      <c r="H425" s="111"/>
      <c r="I425" s="107">
        <f t="shared" si="41"/>
        <v>350000</v>
      </c>
      <c r="J425" s="137"/>
    </row>
    <row r="426" spans="1:10" ht="12.75" customHeight="1">
      <c r="A426" s="2" t="s">
        <v>140</v>
      </c>
      <c r="B426" s="1" t="s">
        <v>300</v>
      </c>
      <c r="C426" s="1" t="s">
        <v>54</v>
      </c>
      <c r="D426" s="1" t="s">
        <v>89</v>
      </c>
      <c r="E426" s="22" t="s">
        <v>141</v>
      </c>
      <c r="F426" s="17"/>
      <c r="G426" s="111">
        <f>G427+G429</f>
        <v>1673260</v>
      </c>
      <c r="H426" s="111">
        <f>H427+H429</f>
        <v>0</v>
      </c>
      <c r="I426" s="107">
        <f t="shared" si="41"/>
        <v>1673260</v>
      </c>
      <c r="J426" s="137"/>
    </row>
    <row r="427" spans="1:11" ht="39.75" customHeight="1">
      <c r="A427" s="2" t="s">
        <v>402</v>
      </c>
      <c r="B427" s="1" t="s">
        <v>300</v>
      </c>
      <c r="C427" s="1" t="s">
        <v>54</v>
      </c>
      <c r="D427" s="1" t="s">
        <v>89</v>
      </c>
      <c r="E427" s="22" t="s">
        <v>403</v>
      </c>
      <c r="F427" s="17"/>
      <c r="G427" s="111">
        <f>G428</f>
        <v>1597260</v>
      </c>
      <c r="H427" s="111">
        <f>H428</f>
        <v>0</v>
      </c>
      <c r="I427" s="107">
        <f t="shared" si="41"/>
        <v>1597260</v>
      </c>
      <c r="J427" s="137"/>
      <c r="K427" s="122"/>
    </row>
    <row r="428" spans="1:11" ht="63.75" customHeight="1">
      <c r="A428" s="7" t="s">
        <v>313</v>
      </c>
      <c r="B428" s="1" t="s">
        <v>300</v>
      </c>
      <c r="C428" s="1" t="s">
        <v>54</v>
      </c>
      <c r="D428" s="1" t="s">
        <v>89</v>
      </c>
      <c r="E428" s="22" t="s">
        <v>403</v>
      </c>
      <c r="F428" s="17" t="s">
        <v>264</v>
      </c>
      <c r="G428" s="111">
        <v>1597260</v>
      </c>
      <c r="H428" s="111"/>
      <c r="I428" s="107">
        <f t="shared" si="41"/>
        <v>1597260</v>
      </c>
      <c r="J428" s="137"/>
      <c r="K428" s="122"/>
    </row>
    <row r="429" spans="1:11" ht="36.75" customHeight="1">
      <c r="A429" s="2" t="s">
        <v>469</v>
      </c>
      <c r="B429" s="1" t="s">
        <v>300</v>
      </c>
      <c r="C429" s="1" t="s">
        <v>54</v>
      </c>
      <c r="D429" s="1" t="s">
        <v>89</v>
      </c>
      <c r="E429" s="22" t="s">
        <v>470</v>
      </c>
      <c r="F429" s="17"/>
      <c r="G429" s="111">
        <f>G430</f>
        <v>76000</v>
      </c>
      <c r="H429" s="111">
        <f>H430</f>
        <v>0</v>
      </c>
      <c r="I429" s="107">
        <f t="shared" si="41"/>
        <v>76000</v>
      </c>
      <c r="J429" s="137"/>
      <c r="K429" s="122"/>
    </row>
    <row r="430" spans="1:11" ht="18.75" customHeight="1">
      <c r="A430" s="15" t="s">
        <v>134</v>
      </c>
      <c r="B430" s="1" t="s">
        <v>300</v>
      </c>
      <c r="C430" s="1" t="s">
        <v>54</v>
      </c>
      <c r="D430" s="1" t="s">
        <v>89</v>
      </c>
      <c r="E430" s="22" t="s">
        <v>470</v>
      </c>
      <c r="F430" s="17" t="s">
        <v>133</v>
      </c>
      <c r="G430" s="111">
        <v>76000</v>
      </c>
      <c r="H430" s="111"/>
      <c r="I430" s="107">
        <f t="shared" si="41"/>
        <v>76000</v>
      </c>
      <c r="J430" s="137"/>
      <c r="K430" s="122"/>
    </row>
    <row r="431" spans="1:10" ht="12.75" customHeight="1">
      <c r="A431" s="15" t="s">
        <v>128</v>
      </c>
      <c r="B431" s="1" t="s">
        <v>300</v>
      </c>
      <c r="C431" s="1" t="s">
        <v>54</v>
      </c>
      <c r="D431" s="1" t="s">
        <v>89</v>
      </c>
      <c r="E431" s="1" t="s">
        <v>42</v>
      </c>
      <c r="F431" s="17"/>
      <c r="G431" s="111">
        <f aca="true" t="shared" si="42" ref="G431:H433">G432</f>
        <v>160000.01</v>
      </c>
      <c r="H431" s="111">
        <f t="shared" si="42"/>
        <v>0</v>
      </c>
      <c r="I431" s="107">
        <f t="shared" si="41"/>
        <v>160000.01</v>
      </c>
      <c r="J431" s="137"/>
    </row>
    <row r="432" spans="1:10" ht="41.25" customHeight="1">
      <c r="A432" s="7" t="s">
        <v>101</v>
      </c>
      <c r="B432" s="1" t="s">
        <v>300</v>
      </c>
      <c r="C432" s="1" t="s">
        <v>54</v>
      </c>
      <c r="D432" s="1" t="s">
        <v>89</v>
      </c>
      <c r="E432" s="1" t="s">
        <v>43</v>
      </c>
      <c r="F432" s="17"/>
      <c r="G432" s="111">
        <f t="shared" si="42"/>
        <v>160000.01</v>
      </c>
      <c r="H432" s="111">
        <f t="shared" si="42"/>
        <v>0</v>
      </c>
      <c r="I432" s="107">
        <f t="shared" si="41"/>
        <v>160000.01</v>
      </c>
      <c r="J432" s="137"/>
    </row>
    <row r="433" spans="1:10" ht="12.75" customHeight="1">
      <c r="A433" s="15" t="s">
        <v>400</v>
      </c>
      <c r="B433" s="1" t="s">
        <v>300</v>
      </c>
      <c r="C433" s="1" t="s">
        <v>54</v>
      </c>
      <c r="D433" s="1" t="s">
        <v>89</v>
      </c>
      <c r="E433" s="1" t="s">
        <v>401</v>
      </c>
      <c r="F433" s="17"/>
      <c r="G433" s="111">
        <f t="shared" si="42"/>
        <v>160000.01</v>
      </c>
      <c r="H433" s="111">
        <f t="shared" si="42"/>
        <v>0</v>
      </c>
      <c r="I433" s="107">
        <f t="shared" si="41"/>
        <v>160000.01</v>
      </c>
      <c r="J433" s="137"/>
    </row>
    <row r="434" spans="1:13" ht="12.75" customHeight="1">
      <c r="A434" s="15" t="s">
        <v>67</v>
      </c>
      <c r="B434" s="1" t="s">
        <v>300</v>
      </c>
      <c r="C434" s="1" t="s">
        <v>54</v>
      </c>
      <c r="D434" s="1" t="s">
        <v>89</v>
      </c>
      <c r="E434" s="1" t="s">
        <v>401</v>
      </c>
      <c r="F434" s="17" t="s">
        <v>60</v>
      </c>
      <c r="G434" s="111">
        <v>160000.01</v>
      </c>
      <c r="H434" s="111"/>
      <c r="I434" s="107">
        <f t="shared" si="41"/>
        <v>160000.01</v>
      </c>
      <c r="J434" s="137"/>
      <c r="M434" s="122"/>
    </row>
    <row r="435" spans="1:10" ht="12.75" customHeight="1">
      <c r="A435" s="15" t="s">
        <v>147</v>
      </c>
      <c r="B435" s="1" t="s">
        <v>300</v>
      </c>
      <c r="C435" s="1" t="s">
        <v>54</v>
      </c>
      <c r="D435" s="1" t="s">
        <v>89</v>
      </c>
      <c r="E435" s="1" t="s">
        <v>148</v>
      </c>
      <c r="F435" s="17"/>
      <c r="G435" s="111">
        <f>G436+G441</f>
        <v>491000</v>
      </c>
      <c r="H435" s="111">
        <f>H436+H441</f>
        <v>0</v>
      </c>
      <c r="I435" s="111">
        <f>I436+I441</f>
        <v>491000</v>
      </c>
      <c r="J435" s="137"/>
    </row>
    <row r="436" spans="1:10" ht="41.25" customHeight="1">
      <c r="A436" s="7" t="s">
        <v>352</v>
      </c>
      <c r="B436" s="1" t="s">
        <v>300</v>
      </c>
      <c r="C436" s="1" t="s">
        <v>54</v>
      </c>
      <c r="D436" s="1" t="s">
        <v>89</v>
      </c>
      <c r="E436" s="1" t="s">
        <v>215</v>
      </c>
      <c r="F436" s="17"/>
      <c r="G436" s="111">
        <f>G437+G439</f>
        <v>453700</v>
      </c>
      <c r="H436" s="111">
        <f>H437+H439</f>
        <v>0</v>
      </c>
      <c r="I436" s="111">
        <f>I437+I439</f>
        <v>453700</v>
      </c>
      <c r="J436" s="137"/>
    </row>
    <row r="437" spans="1:10" ht="13.5" customHeight="1">
      <c r="A437" s="15" t="s">
        <v>415</v>
      </c>
      <c r="B437" s="1" t="s">
        <v>300</v>
      </c>
      <c r="C437" s="1" t="s">
        <v>54</v>
      </c>
      <c r="D437" s="1" t="s">
        <v>89</v>
      </c>
      <c r="E437" s="1" t="s">
        <v>416</v>
      </c>
      <c r="F437" s="17"/>
      <c r="G437" s="111">
        <f>G438</f>
        <v>449700</v>
      </c>
      <c r="H437" s="111">
        <f>H438</f>
        <v>0</v>
      </c>
      <c r="I437" s="111">
        <f>I438</f>
        <v>449700</v>
      </c>
      <c r="J437" s="137"/>
    </row>
    <row r="438" spans="1:12" ht="12.75" customHeight="1">
      <c r="A438" s="2" t="s">
        <v>142</v>
      </c>
      <c r="B438" s="1" t="s">
        <v>300</v>
      </c>
      <c r="C438" s="1" t="s">
        <v>54</v>
      </c>
      <c r="D438" s="1" t="s">
        <v>89</v>
      </c>
      <c r="E438" s="1" t="s">
        <v>416</v>
      </c>
      <c r="F438" s="17" t="s">
        <v>143</v>
      </c>
      <c r="G438" s="111">
        <v>449700</v>
      </c>
      <c r="H438" s="111"/>
      <c r="I438" s="107">
        <f t="shared" si="41"/>
        <v>449700</v>
      </c>
      <c r="J438" s="137"/>
      <c r="L438" s="122"/>
    </row>
    <row r="439" spans="1:12" ht="12.75" customHeight="1">
      <c r="A439" s="15" t="s">
        <v>468</v>
      </c>
      <c r="B439" s="1" t="s">
        <v>300</v>
      </c>
      <c r="C439" s="1" t="s">
        <v>54</v>
      </c>
      <c r="D439" s="1" t="s">
        <v>89</v>
      </c>
      <c r="E439" s="1" t="s">
        <v>478</v>
      </c>
      <c r="F439" s="17"/>
      <c r="G439" s="111">
        <f>G440</f>
        <v>4000</v>
      </c>
      <c r="H439" s="111">
        <f>H440</f>
        <v>0</v>
      </c>
      <c r="I439" s="111">
        <f>I440</f>
        <v>4000</v>
      </c>
      <c r="J439" s="137"/>
      <c r="L439" s="122"/>
    </row>
    <row r="440" spans="1:12" ht="12.75" customHeight="1">
      <c r="A440" s="15" t="s">
        <v>134</v>
      </c>
      <c r="B440" s="1" t="s">
        <v>300</v>
      </c>
      <c r="C440" s="1" t="s">
        <v>54</v>
      </c>
      <c r="D440" s="1" t="s">
        <v>89</v>
      </c>
      <c r="E440" s="1" t="s">
        <v>478</v>
      </c>
      <c r="F440" s="17" t="s">
        <v>133</v>
      </c>
      <c r="G440" s="111">
        <v>4000</v>
      </c>
      <c r="H440" s="111"/>
      <c r="I440" s="107">
        <f t="shared" si="41"/>
        <v>4000</v>
      </c>
      <c r="J440" s="137"/>
      <c r="L440" s="122"/>
    </row>
    <row r="441" spans="1:10" ht="38.25">
      <c r="A441" s="2" t="s">
        <v>358</v>
      </c>
      <c r="B441" s="1" t="s">
        <v>300</v>
      </c>
      <c r="C441" s="1" t="s">
        <v>54</v>
      </c>
      <c r="D441" s="1" t="s">
        <v>89</v>
      </c>
      <c r="E441" s="1" t="s">
        <v>226</v>
      </c>
      <c r="F441" s="17"/>
      <c r="G441" s="111">
        <f>SUM(G442:G443)</f>
        <v>37300</v>
      </c>
      <c r="H441" s="111">
        <f>SUM(H442:H443)</f>
        <v>0</v>
      </c>
      <c r="I441" s="111">
        <f>SUM(I442:I443)</f>
        <v>37300</v>
      </c>
      <c r="J441" s="137"/>
    </row>
    <row r="442" spans="1:10" ht="12.75" customHeight="1">
      <c r="A442" s="2" t="s">
        <v>67</v>
      </c>
      <c r="B442" s="1" t="s">
        <v>300</v>
      </c>
      <c r="C442" s="1" t="s">
        <v>54</v>
      </c>
      <c r="D442" s="1" t="s">
        <v>89</v>
      </c>
      <c r="E442" s="1" t="s">
        <v>226</v>
      </c>
      <c r="F442" s="17" t="s">
        <v>60</v>
      </c>
      <c r="G442" s="111">
        <v>20300</v>
      </c>
      <c r="H442" s="111"/>
      <c r="I442" s="107">
        <f t="shared" si="41"/>
        <v>20300</v>
      </c>
      <c r="J442" s="137"/>
    </row>
    <row r="443" spans="1:10" ht="12.75" customHeight="1">
      <c r="A443" s="15" t="s">
        <v>134</v>
      </c>
      <c r="B443" s="1" t="s">
        <v>300</v>
      </c>
      <c r="C443" s="1" t="s">
        <v>54</v>
      </c>
      <c r="D443" s="1" t="s">
        <v>89</v>
      </c>
      <c r="E443" s="1" t="s">
        <v>226</v>
      </c>
      <c r="F443" s="17" t="s">
        <v>133</v>
      </c>
      <c r="G443" s="111">
        <v>17000</v>
      </c>
      <c r="H443" s="111"/>
      <c r="I443" s="107">
        <f t="shared" si="41"/>
        <v>17000</v>
      </c>
      <c r="J443" s="137"/>
    </row>
    <row r="444" spans="1:10" ht="12.75">
      <c r="A444" s="7"/>
      <c r="B444" s="1"/>
      <c r="C444" s="1"/>
      <c r="D444" s="1"/>
      <c r="E444" s="1"/>
      <c r="F444" s="17"/>
      <c r="G444" s="111"/>
      <c r="H444" s="111"/>
      <c r="I444" s="111"/>
      <c r="J444" s="136"/>
    </row>
    <row r="445" spans="1:10" ht="15.75">
      <c r="A445" s="34" t="s">
        <v>184</v>
      </c>
      <c r="B445" s="41" t="s">
        <v>300</v>
      </c>
      <c r="C445" s="41" t="s">
        <v>57</v>
      </c>
      <c r="D445" s="42"/>
      <c r="E445" s="42"/>
      <c r="F445" s="17"/>
      <c r="G445" s="108">
        <f>SUM(G458+G446+G487)</f>
        <v>22866835.37</v>
      </c>
      <c r="H445" s="108">
        <f>SUM(H458+H446+H487)</f>
        <v>74253903.83</v>
      </c>
      <c r="I445" s="108">
        <f>SUM(I458+I446+I487)</f>
        <v>97120739.2</v>
      </c>
      <c r="J445" s="133"/>
    </row>
    <row r="446" spans="1:10" ht="12.75">
      <c r="A446" s="23" t="s">
        <v>266</v>
      </c>
      <c r="B446" s="19" t="s">
        <v>300</v>
      </c>
      <c r="C446" s="19" t="s">
        <v>57</v>
      </c>
      <c r="D446" s="19" t="s">
        <v>59</v>
      </c>
      <c r="E446" s="1"/>
      <c r="F446" s="17"/>
      <c r="G446" s="109">
        <f>+G451+G447+G449</f>
        <v>0</v>
      </c>
      <c r="H446" s="109">
        <f>+H451+H447+H449</f>
        <v>73057903.83</v>
      </c>
      <c r="I446" s="109">
        <f aca="true" t="shared" si="43" ref="I446:I456">SUM(G446:H446)</f>
        <v>73057903.83</v>
      </c>
      <c r="J446" s="134"/>
    </row>
    <row r="447" spans="1:10" ht="63.75">
      <c r="A447" s="7" t="s">
        <v>483</v>
      </c>
      <c r="B447" s="14" t="s">
        <v>300</v>
      </c>
      <c r="C447" s="14" t="s">
        <v>57</v>
      </c>
      <c r="D447" s="14" t="s">
        <v>59</v>
      </c>
      <c r="E447" s="1" t="s">
        <v>484</v>
      </c>
      <c r="F447" s="17"/>
      <c r="G447" s="107">
        <f>G448</f>
        <v>0</v>
      </c>
      <c r="H447" s="107">
        <f>H448</f>
        <v>64057170.08</v>
      </c>
      <c r="I447" s="107">
        <f t="shared" si="43"/>
        <v>64057170.08</v>
      </c>
      <c r="J447" s="134"/>
    </row>
    <row r="448" spans="1:10" ht="12.75">
      <c r="A448" s="7" t="s">
        <v>129</v>
      </c>
      <c r="B448" s="14" t="s">
        <v>300</v>
      </c>
      <c r="C448" s="14" t="s">
        <v>57</v>
      </c>
      <c r="D448" s="14" t="s">
        <v>59</v>
      </c>
      <c r="E448" s="1" t="s">
        <v>484</v>
      </c>
      <c r="F448" s="17" t="s">
        <v>130</v>
      </c>
      <c r="G448" s="109"/>
      <c r="H448" s="107">
        <v>64057170.08</v>
      </c>
      <c r="I448" s="107">
        <f t="shared" si="43"/>
        <v>64057170.08</v>
      </c>
      <c r="J448" s="134"/>
    </row>
    <row r="449" spans="1:10" ht="51">
      <c r="A449" s="7" t="s">
        <v>485</v>
      </c>
      <c r="B449" s="14" t="s">
        <v>300</v>
      </c>
      <c r="C449" s="14" t="s">
        <v>57</v>
      </c>
      <c r="D449" s="14" t="s">
        <v>59</v>
      </c>
      <c r="E449" s="1" t="s">
        <v>486</v>
      </c>
      <c r="F449" s="17"/>
      <c r="G449" s="107">
        <f>G450</f>
        <v>0</v>
      </c>
      <c r="H449" s="107">
        <f>H450</f>
        <v>9000733.75</v>
      </c>
      <c r="I449" s="107">
        <f t="shared" si="43"/>
        <v>9000733.75</v>
      </c>
      <c r="J449" s="134"/>
    </row>
    <row r="450" spans="1:10" ht="12.75">
      <c r="A450" s="7" t="s">
        <v>129</v>
      </c>
      <c r="B450" s="14" t="s">
        <v>300</v>
      </c>
      <c r="C450" s="14" t="s">
        <v>57</v>
      </c>
      <c r="D450" s="14" t="s">
        <v>59</v>
      </c>
      <c r="E450" s="1" t="s">
        <v>486</v>
      </c>
      <c r="F450" s="17" t="s">
        <v>130</v>
      </c>
      <c r="G450" s="109"/>
      <c r="H450" s="107">
        <v>9000733.75</v>
      </c>
      <c r="I450" s="107">
        <f t="shared" si="43"/>
        <v>9000733.75</v>
      </c>
      <c r="J450" s="134"/>
    </row>
    <row r="451" spans="1:10" ht="12.75">
      <c r="A451" s="15" t="s">
        <v>147</v>
      </c>
      <c r="B451" s="1" t="s">
        <v>300</v>
      </c>
      <c r="C451" s="1" t="s">
        <v>57</v>
      </c>
      <c r="D451" s="1" t="s">
        <v>59</v>
      </c>
      <c r="E451" s="1" t="s">
        <v>148</v>
      </c>
      <c r="F451" s="17"/>
      <c r="G451" s="107">
        <f>+G455+G452</f>
        <v>0</v>
      </c>
      <c r="H451" s="107">
        <f>+H455+H452</f>
        <v>0</v>
      </c>
      <c r="I451" s="107">
        <f t="shared" si="43"/>
        <v>0</v>
      </c>
      <c r="J451" s="137"/>
    </row>
    <row r="452" spans="1:10" ht="38.25">
      <c r="A452" s="7" t="s">
        <v>352</v>
      </c>
      <c r="B452" s="1" t="s">
        <v>300</v>
      </c>
      <c r="C452" s="1" t="s">
        <v>57</v>
      </c>
      <c r="D452" s="1" t="s">
        <v>59</v>
      </c>
      <c r="E452" s="1" t="s">
        <v>215</v>
      </c>
      <c r="F452" s="17"/>
      <c r="G452" s="107">
        <f>G453</f>
        <v>0</v>
      </c>
      <c r="H452" s="107">
        <f>H453</f>
        <v>0</v>
      </c>
      <c r="I452" s="107">
        <f t="shared" si="43"/>
        <v>0</v>
      </c>
      <c r="J452" s="137"/>
    </row>
    <row r="453" spans="1:10" ht="12.75">
      <c r="A453" s="15" t="s">
        <v>468</v>
      </c>
      <c r="B453" s="1" t="s">
        <v>300</v>
      </c>
      <c r="C453" s="1" t="s">
        <v>57</v>
      </c>
      <c r="D453" s="1" t="s">
        <v>59</v>
      </c>
      <c r="E453" s="1" t="s">
        <v>478</v>
      </c>
      <c r="F453" s="17"/>
      <c r="G453" s="107">
        <f>G454</f>
        <v>0</v>
      </c>
      <c r="H453" s="107">
        <f>H454</f>
        <v>0</v>
      </c>
      <c r="I453" s="107">
        <f t="shared" si="43"/>
        <v>0</v>
      </c>
      <c r="J453" s="137"/>
    </row>
    <row r="454" spans="1:10" ht="12.75">
      <c r="A454" s="15" t="s">
        <v>134</v>
      </c>
      <c r="B454" s="1" t="s">
        <v>300</v>
      </c>
      <c r="C454" s="1" t="s">
        <v>57</v>
      </c>
      <c r="D454" s="1" t="s">
        <v>59</v>
      </c>
      <c r="E454" s="1" t="s">
        <v>478</v>
      </c>
      <c r="F454" s="17" t="s">
        <v>133</v>
      </c>
      <c r="G454" s="107">
        <v>0</v>
      </c>
      <c r="H454" s="107"/>
      <c r="I454" s="107">
        <f t="shared" si="43"/>
        <v>0</v>
      </c>
      <c r="J454" s="137"/>
    </row>
    <row r="455" spans="1:10" ht="38.25">
      <c r="A455" s="2" t="s">
        <v>354</v>
      </c>
      <c r="B455" s="1" t="s">
        <v>300</v>
      </c>
      <c r="C455" s="1" t="s">
        <v>57</v>
      </c>
      <c r="D455" s="1" t="s">
        <v>59</v>
      </c>
      <c r="E455" s="1" t="s">
        <v>267</v>
      </c>
      <c r="F455" s="17"/>
      <c r="G455" s="107">
        <f>+G456</f>
        <v>0</v>
      </c>
      <c r="H455" s="107">
        <f>+H456</f>
        <v>0</v>
      </c>
      <c r="I455" s="107">
        <f t="shared" si="43"/>
        <v>0</v>
      </c>
      <c r="J455" s="137"/>
    </row>
    <row r="456" spans="1:10" ht="12.75">
      <c r="A456" s="15" t="s">
        <v>134</v>
      </c>
      <c r="B456" s="1" t="s">
        <v>300</v>
      </c>
      <c r="C456" s="1" t="s">
        <v>57</v>
      </c>
      <c r="D456" s="1" t="s">
        <v>59</v>
      </c>
      <c r="E456" s="1" t="s">
        <v>267</v>
      </c>
      <c r="F456" s="17" t="s">
        <v>133</v>
      </c>
      <c r="G456" s="107">
        <v>0</v>
      </c>
      <c r="H456" s="107"/>
      <c r="I456" s="107">
        <f t="shared" si="43"/>
        <v>0</v>
      </c>
      <c r="J456" s="137"/>
    </row>
    <row r="457" spans="1:10" ht="12.75">
      <c r="A457" s="2"/>
      <c r="B457" s="1"/>
      <c r="C457" s="1"/>
      <c r="D457" s="1"/>
      <c r="E457" s="1"/>
      <c r="F457" s="17"/>
      <c r="G457" s="107"/>
      <c r="H457" s="107"/>
      <c r="I457" s="107"/>
      <c r="J457" s="137"/>
    </row>
    <row r="458" spans="1:10" ht="12.75">
      <c r="A458" s="23" t="s">
        <v>186</v>
      </c>
      <c r="B458" s="19" t="s">
        <v>300</v>
      </c>
      <c r="C458" s="19" t="s">
        <v>57</v>
      </c>
      <c r="D458" s="19" t="s">
        <v>55</v>
      </c>
      <c r="E458" s="1"/>
      <c r="F458" s="17"/>
      <c r="G458" s="109">
        <f>G459+G470+G476+G464+G461</f>
        <v>22826835.37</v>
      </c>
      <c r="H458" s="109">
        <f>H459+H470+H476+H464+H461</f>
        <v>1112000</v>
      </c>
      <c r="I458" s="109">
        <f aca="true" t="shared" si="44" ref="I458:I463">SUM(G458:H458)</f>
        <v>23938835.37</v>
      </c>
      <c r="J458" s="134"/>
    </row>
    <row r="459" spans="1:10" ht="12.75">
      <c r="A459" s="7" t="s">
        <v>362</v>
      </c>
      <c r="B459" s="14" t="s">
        <v>300</v>
      </c>
      <c r="C459" s="14" t="s">
        <v>57</v>
      </c>
      <c r="D459" s="14" t="s">
        <v>55</v>
      </c>
      <c r="E459" s="1" t="s">
        <v>361</v>
      </c>
      <c r="F459" s="17"/>
      <c r="G459" s="107">
        <f>G460</f>
        <v>159000</v>
      </c>
      <c r="H459" s="107">
        <f>H460</f>
        <v>-113000</v>
      </c>
      <c r="I459" s="107">
        <f t="shared" si="44"/>
        <v>46000</v>
      </c>
      <c r="J459" s="137"/>
    </row>
    <row r="460" spans="1:10" ht="12.75">
      <c r="A460" s="15" t="s">
        <v>134</v>
      </c>
      <c r="B460" s="14" t="s">
        <v>300</v>
      </c>
      <c r="C460" s="14" t="s">
        <v>57</v>
      </c>
      <c r="D460" s="14" t="s">
        <v>55</v>
      </c>
      <c r="E460" s="1" t="s">
        <v>361</v>
      </c>
      <c r="F460" s="17" t="s">
        <v>133</v>
      </c>
      <c r="G460" s="107">
        <v>159000</v>
      </c>
      <c r="H460" s="107">
        <f>-73000-40000</f>
        <v>-113000</v>
      </c>
      <c r="I460" s="107">
        <f t="shared" si="44"/>
        <v>46000</v>
      </c>
      <c r="J460" s="137"/>
    </row>
    <row r="461" spans="1:10" ht="12.75">
      <c r="A461" s="2" t="s">
        <v>443</v>
      </c>
      <c r="B461" s="1" t="s">
        <v>300</v>
      </c>
      <c r="C461" s="1" t="s">
        <v>57</v>
      </c>
      <c r="D461" s="1" t="s">
        <v>55</v>
      </c>
      <c r="E461" s="1" t="s">
        <v>444</v>
      </c>
      <c r="F461" s="17"/>
      <c r="G461" s="107">
        <f>G462</f>
        <v>27200</v>
      </c>
      <c r="H461" s="107">
        <f>H462</f>
        <v>0</v>
      </c>
      <c r="I461" s="107">
        <f t="shared" si="44"/>
        <v>27200</v>
      </c>
      <c r="J461" s="137"/>
    </row>
    <row r="462" spans="1:10" ht="38.25">
      <c r="A462" s="2" t="s">
        <v>445</v>
      </c>
      <c r="B462" s="1" t="s">
        <v>300</v>
      </c>
      <c r="C462" s="1" t="s">
        <v>57</v>
      </c>
      <c r="D462" s="1" t="s">
        <v>55</v>
      </c>
      <c r="E462" s="1" t="s">
        <v>446</v>
      </c>
      <c r="F462" s="17"/>
      <c r="G462" s="107">
        <f>G463</f>
        <v>27200</v>
      </c>
      <c r="H462" s="107">
        <f>H463</f>
        <v>0</v>
      </c>
      <c r="I462" s="107">
        <f t="shared" si="44"/>
        <v>27200</v>
      </c>
      <c r="J462" s="137"/>
    </row>
    <row r="463" spans="1:10" ht="12.75">
      <c r="A463" s="15" t="s">
        <v>134</v>
      </c>
      <c r="B463" s="14" t="s">
        <v>300</v>
      </c>
      <c r="C463" s="1" t="s">
        <v>57</v>
      </c>
      <c r="D463" s="1" t="s">
        <v>55</v>
      </c>
      <c r="E463" s="1" t="s">
        <v>446</v>
      </c>
      <c r="F463" s="17" t="s">
        <v>133</v>
      </c>
      <c r="G463" s="107">
        <v>27200</v>
      </c>
      <c r="H463" s="107"/>
      <c r="I463" s="107">
        <f t="shared" si="44"/>
        <v>27200</v>
      </c>
      <c r="J463" s="137"/>
    </row>
    <row r="464" spans="1:10" ht="12.75">
      <c r="A464" s="2" t="s">
        <v>140</v>
      </c>
      <c r="B464" s="1" t="s">
        <v>300</v>
      </c>
      <c r="C464" s="1" t="s">
        <v>57</v>
      </c>
      <c r="D464" s="1" t="s">
        <v>55</v>
      </c>
      <c r="E464" s="1" t="s">
        <v>141</v>
      </c>
      <c r="F464" s="17"/>
      <c r="G464" s="107">
        <f>G467+G466</f>
        <v>17565900</v>
      </c>
      <c r="H464" s="107">
        <f>H467+H466</f>
        <v>1075000</v>
      </c>
      <c r="I464" s="107">
        <f aca="true" t="shared" si="45" ref="I464:I473">H464+G464</f>
        <v>18640900</v>
      </c>
      <c r="J464" s="137"/>
    </row>
    <row r="465" spans="1:10" ht="38.25">
      <c r="A465" s="2" t="s">
        <v>479</v>
      </c>
      <c r="B465" s="1" t="s">
        <v>300</v>
      </c>
      <c r="C465" s="1" t="s">
        <v>57</v>
      </c>
      <c r="D465" s="1" t="s">
        <v>55</v>
      </c>
      <c r="E465" s="1" t="s">
        <v>480</v>
      </c>
      <c r="F465" s="17"/>
      <c r="G465" s="107">
        <f>G466</f>
        <v>0</v>
      </c>
      <c r="H465" s="107">
        <f>H466</f>
        <v>1075000</v>
      </c>
      <c r="I465" s="107">
        <f t="shared" si="45"/>
        <v>1075000</v>
      </c>
      <c r="J465" s="137"/>
    </row>
    <row r="466" spans="1:10" ht="63.75">
      <c r="A466" s="7" t="s">
        <v>313</v>
      </c>
      <c r="B466" s="1" t="s">
        <v>300</v>
      </c>
      <c r="C466" s="1" t="s">
        <v>57</v>
      </c>
      <c r="D466" s="1" t="s">
        <v>55</v>
      </c>
      <c r="E466" s="1" t="s">
        <v>480</v>
      </c>
      <c r="F466" s="17" t="s">
        <v>264</v>
      </c>
      <c r="G466" s="107"/>
      <c r="H466" s="107">
        <v>1075000</v>
      </c>
      <c r="I466" s="107">
        <f t="shared" si="45"/>
        <v>1075000</v>
      </c>
      <c r="J466" s="137"/>
    </row>
    <row r="467" spans="1:10" ht="39.75" customHeight="1">
      <c r="A467" s="2" t="s">
        <v>450</v>
      </c>
      <c r="B467" s="1" t="s">
        <v>300</v>
      </c>
      <c r="C467" s="1" t="s">
        <v>57</v>
      </c>
      <c r="D467" s="1" t="s">
        <v>55</v>
      </c>
      <c r="E467" s="1" t="s">
        <v>449</v>
      </c>
      <c r="F467" s="17"/>
      <c r="G467" s="107">
        <f>SUM(G468:G469)</f>
        <v>17565900</v>
      </c>
      <c r="H467" s="107">
        <f>SUM(H468:H469)</f>
        <v>0</v>
      </c>
      <c r="I467" s="107">
        <f t="shared" si="45"/>
        <v>17565900</v>
      </c>
      <c r="J467" s="137"/>
    </row>
    <row r="468" spans="1:10" ht="12.75">
      <c r="A468" s="15" t="s">
        <v>134</v>
      </c>
      <c r="B468" s="1" t="s">
        <v>300</v>
      </c>
      <c r="C468" s="1" t="s">
        <v>57</v>
      </c>
      <c r="D468" s="1" t="s">
        <v>55</v>
      </c>
      <c r="E468" s="1" t="s">
        <v>449</v>
      </c>
      <c r="F468" s="17" t="s">
        <v>133</v>
      </c>
      <c r="G468" s="107">
        <v>136000</v>
      </c>
      <c r="H468" s="107"/>
      <c r="I468" s="107">
        <f t="shared" si="45"/>
        <v>136000</v>
      </c>
      <c r="J468" s="137"/>
    </row>
    <row r="469" spans="1:10" ht="12.75">
      <c r="A469" s="2" t="s">
        <v>142</v>
      </c>
      <c r="B469" s="1" t="s">
        <v>300</v>
      </c>
      <c r="C469" s="1" t="s">
        <v>57</v>
      </c>
      <c r="D469" s="1" t="s">
        <v>55</v>
      </c>
      <c r="E469" s="1" t="s">
        <v>449</v>
      </c>
      <c r="F469" s="17" t="s">
        <v>143</v>
      </c>
      <c r="G469" s="107">
        <v>17429900</v>
      </c>
      <c r="H469" s="107"/>
      <c r="I469" s="107">
        <f t="shared" si="45"/>
        <v>17429900</v>
      </c>
      <c r="J469" s="137"/>
    </row>
    <row r="470" spans="1:10" ht="12.75">
      <c r="A470" s="15" t="s">
        <v>128</v>
      </c>
      <c r="B470" s="1" t="s">
        <v>300</v>
      </c>
      <c r="C470" s="1" t="s">
        <v>57</v>
      </c>
      <c r="D470" s="1" t="s">
        <v>55</v>
      </c>
      <c r="E470" s="1" t="s">
        <v>42</v>
      </c>
      <c r="F470" s="17"/>
      <c r="G470" s="107">
        <f aca="true" t="shared" si="46" ref="G470:H472">G471</f>
        <v>2000000</v>
      </c>
      <c r="H470" s="107">
        <f t="shared" si="46"/>
        <v>113000</v>
      </c>
      <c r="I470" s="107">
        <f t="shared" si="45"/>
        <v>2113000</v>
      </c>
      <c r="J470" s="137"/>
    </row>
    <row r="471" spans="1:10" ht="38.25">
      <c r="A471" s="7" t="s">
        <v>101</v>
      </c>
      <c r="B471" s="1" t="s">
        <v>300</v>
      </c>
      <c r="C471" s="1" t="s">
        <v>57</v>
      </c>
      <c r="D471" s="1" t="s">
        <v>55</v>
      </c>
      <c r="E471" s="1" t="s">
        <v>43</v>
      </c>
      <c r="F471" s="17"/>
      <c r="G471" s="107">
        <f>G472+G474</f>
        <v>2000000</v>
      </c>
      <c r="H471" s="107">
        <f>H472+H474</f>
        <v>113000</v>
      </c>
      <c r="I471" s="107">
        <f t="shared" si="45"/>
        <v>2113000</v>
      </c>
      <c r="J471" s="137"/>
    </row>
    <row r="472" spans="1:10" ht="89.25">
      <c r="A472" s="7" t="s">
        <v>419</v>
      </c>
      <c r="B472" s="1" t="s">
        <v>300</v>
      </c>
      <c r="C472" s="1" t="s">
        <v>57</v>
      </c>
      <c r="D472" s="1" t="s">
        <v>55</v>
      </c>
      <c r="E472" s="1" t="s">
        <v>420</v>
      </c>
      <c r="F472" s="17"/>
      <c r="G472" s="107">
        <f t="shared" si="46"/>
        <v>2000000</v>
      </c>
      <c r="H472" s="107">
        <f t="shared" si="46"/>
        <v>0</v>
      </c>
      <c r="I472" s="107">
        <f t="shared" si="45"/>
        <v>2000000</v>
      </c>
      <c r="J472" s="137"/>
    </row>
    <row r="473" spans="1:10" ht="12.75">
      <c r="A473" s="2" t="s">
        <v>181</v>
      </c>
      <c r="B473" s="1" t="s">
        <v>300</v>
      </c>
      <c r="C473" s="1" t="s">
        <v>57</v>
      </c>
      <c r="D473" s="1" t="s">
        <v>55</v>
      </c>
      <c r="E473" s="1" t="s">
        <v>420</v>
      </c>
      <c r="F473" s="17" t="s">
        <v>143</v>
      </c>
      <c r="G473" s="107">
        <v>2000000</v>
      </c>
      <c r="H473" s="107"/>
      <c r="I473" s="107">
        <f t="shared" si="45"/>
        <v>2000000</v>
      </c>
      <c r="J473" s="137"/>
    </row>
    <row r="474" spans="1:10" ht="12.75">
      <c r="A474" s="2" t="s">
        <v>489</v>
      </c>
      <c r="B474" s="1" t="s">
        <v>300</v>
      </c>
      <c r="C474" s="1" t="s">
        <v>57</v>
      </c>
      <c r="D474" s="1" t="s">
        <v>55</v>
      </c>
      <c r="E474" s="1" t="s">
        <v>490</v>
      </c>
      <c r="F474" s="17"/>
      <c r="G474" s="107"/>
      <c r="H474" s="107">
        <f>H475</f>
        <v>113000</v>
      </c>
      <c r="I474" s="107">
        <f>SUM(G474:H474)</f>
        <v>113000</v>
      </c>
      <c r="J474" s="137"/>
    </row>
    <row r="475" spans="1:10" ht="12.75">
      <c r="A475" s="2" t="s">
        <v>408</v>
      </c>
      <c r="B475" s="1" t="s">
        <v>300</v>
      </c>
      <c r="C475" s="1" t="s">
        <v>57</v>
      </c>
      <c r="D475" s="1" t="s">
        <v>55</v>
      </c>
      <c r="E475" s="1" t="s">
        <v>490</v>
      </c>
      <c r="F475" s="17" t="s">
        <v>407</v>
      </c>
      <c r="G475" s="107"/>
      <c r="H475" s="107">
        <f>73000+40000</f>
        <v>113000</v>
      </c>
      <c r="I475" s="107">
        <f>SUM(G475:H475)</f>
        <v>113000</v>
      </c>
      <c r="J475" s="137"/>
    </row>
    <row r="476" spans="1:10" ht="12.75">
      <c r="A476" s="2" t="s">
        <v>147</v>
      </c>
      <c r="B476" s="14" t="s">
        <v>300</v>
      </c>
      <c r="C476" s="14" t="s">
        <v>57</v>
      </c>
      <c r="D476" s="14" t="s">
        <v>55</v>
      </c>
      <c r="E476" s="14" t="s">
        <v>148</v>
      </c>
      <c r="F476" s="17"/>
      <c r="G476" s="107">
        <f>G479+G482+G477</f>
        <v>3074735.37</v>
      </c>
      <c r="H476" s="107">
        <f>H479+H482+H477</f>
        <v>37000</v>
      </c>
      <c r="I476" s="107">
        <f aca="true" t="shared" si="47" ref="I476:I485">SUM(G476:H476)</f>
        <v>3111735.37</v>
      </c>
      <c r="J476" s="137"/>
    </row>
    <row r="477" spans="1:10" ht="38.25">
      <c r="A477" s="8" t="s">
        <v>356</v>
      </c>
      <c r="B477" s="14" t="s">
        <v>300</v>
      </c>
      <c r="C477" s="14" t="s">
        <v>57</v>
      </c>
      <c r="D477" s="14" t="s">
        <v>55</v>
      </c>
      <c r="E477" s="14" t="s">
        <v>214</v>
      </c>
      <c r="F477" s="17"/>
      <c r="G477" s="107">
        <f>+G478</f>
        <v>99329.9</v>
      </c>
      <c r="H477" s="107">
        <f>SUM(H478:H478)</f>
        <v>0</v>
      </c>
      <c r="I477" s="107">
        <f t="shared" si="47"/>
        <v>99329.9</v>
      </c>
      <c r="J477" s="137"/>
    </row>
    <row r="478" spans="1:10" ht="12.75">
      <c r="A478" s="2" t="s">
        <v>142</v>
      </c>
      <c r="B478" s="14" t="s">
        <v>300</v>
      </c>
      <c r="C478" s="14" t="s">
        <v>57</v>
      </c>
      <c r="D478" s="14" t="s">
        <v>55</v>
      </c>
      <c r="E478" s="14" t="s">
        <v>214</v>
      </c>
      <c r="F478" s="17" t="s">
        <v>143</v>
      </c>
      <c r="G478" s="107">
        <v>99329.9</v>
      </c>
      <c r="H478" s="107"/>
      <c r="I478" s="107">
        <f t="shared" si="47"/>
        <v>99329.9</v>
      </c>
      <c r="J478" s="137"/>
    </row>
    <row r="479" spans="1:10" ht="38.25">
      <c r="A479" s="7" t="s">
        <v>352</v>
      </c>
      <c r="B479" s="14" t="s">
        <v>300</v>
      </c>
      <c r="C479" s="14" t="s">
        <v>57</v>
      </c>
      <c r="D479" s="14" t="s">
        <v>55</v>
      </c>
      <c r="E479" s="14" t="s">
        <v>215</v>
      </c>
      <c r="F479" s="17"/>
      <c r="G479" s="107">
        <f>+G480</f>
        <v>0</v>
      </c>
      <c r="H479" s="107">
        <f>+H480</f>
        <v>0</v>
      </c>
      <c r="I479" s="107">
        <f t="shared" si="47"/>
        <v>0</v>
      </c>
      <c r="J479" s="137"/>
    </row>
    <row r="480" spans="1:10" ht="17.25" customHeight="1">
      <c r="A480" s="2" t="s">
        <v>217</v>
      </c>
      <c r="B480" s="14" t="s">
        <v>300</v>
      </c>
      <c r="C480" s="14" t="s">
        <v>57</v>
      </c>
      <c r="D480" s="14" t="s">
        <v>55</v>
      </c>
      <c r="E480" s="14" t="s">
        <v>216</v>
      </c>
      <c r="F480" s="17"/>
      <c r="G480" s="107">
        <f>+G481</f>
        <v>0</v>
      </c>
      <c r="H480" s="107">
        <f>+H481</f>
        <v>0</v>
      </c>
      <c r="I480" s="107">
        <f t="shared" si="47"/>
        <v>0</v>
      </c>
      <c r="J480" s="137"/>
    </row>
    <row r="481" spans="1:10" ht="12.75">
      <c r="A481" s="2" t="s">
        <v>142</v>
      </c>
      <c r="B481" s="14" t="s">
        <v>300</v>
      </c>
      <c r="C481" s="14" t="s">
        <v>57</v>
      </c>
      <c r="D481" s="14" t="s">
        <v>55</v>
      </c>
      <c r="E481" s="14" t="s">
        <v>216</v>
      </c>
      <c r="F481" s="17" t="s">
        <v>143</v>
      </c>
      <c r="G481" s="107">
        <v>0</v>
      </c>
      <c r="H481" s="107"/>
      <c r="I481" s="107">
        <f t="shared" si="47"/>
        <v>0</v>
      </c>
      <c r="J481" s="137"/>
    </row>
    <row r="482" spans="1:10" ht="41.25" customHeight="1">
      <c r="A482" s="2" t="s">
        <v>413</v>
      </c>
      <c r="B482" s="14" t="s">
        <v>300</v>
      </c>
      <c r="C482" s="14" t="s">
        <v>57</v>
      </c>
      <c r="D482" s="14" t="s">
        <v>55</v>
      </c>
      <c r="E482" s="14" t="s">
        <v>414</v>
      </c>
      <c r="F482" s="17"/>
      <c r="G482" s="107">
        <f>SUM(G483:G485)</f>
        <v>2975405.47</v>
      </c>
      <c r="H482" s="107">
        <f>SUM(H483:H485)</f>
        <v>37000</v>
      </c>
      <c r="I482" s="107">
        <f t="shared" si="47"/>
        <v>3012405.47</v>
      </c>
      <c r="J482" s="137"/>
    </row>
    <row r="483" spans="1:12" ht="12.75">
      <c r="A483" s="15" t="s">
        <v>134</v>
      </c>
      <c r="B483" s="14" t="s">
        <v>300</v>
      </c>
      <c r="C483" s="14" t="s">
        <v>57</v>
      </c>
      <c r="D483" s="14" t="s">
        <v>55</v>
      </c>
      <c r="E483" s="14" t="s">
        <v>414</v>
      </c>
      <c r="F483" s="17" t="s">
        <v>133</v>
      </c>
      <c r="G483" s="107">
        <v>278000</v>
      </c>
      <c r="H483" s="107">
        <v>-278000</v>
      </c>
      <c r="I483" s="107">
        <f t="shared" si="47"/>
        <v>0</v>
      </c>
      <c r="J483" s="137"/>
      <c r="L483" s="122"/>
    </row>
    <row r="484" spans="1:12" ht="12.75">
      <c r="A484" s="2" t="s">
        <v>142</v>
      </c>
      <c r="B484" s="14" t="s">
        <v>300</v>
      </c>
      <c r="C484" s="14" t="s">
        <v>57</v>
      </c>
      <c r="D484" s="14" t="s">
        <v>55</v>
      </c>
      <c r="E484" s="14" t="s">
        <v>414</v>
      </c>
      <c r="F484" s="17" t="s">
        <v>143</v>
      </c>
      <c r="G484" s="107">
        <v>2571405.47</v>
      </c>
      <c r="H484" s="107"/>
      <c r="I484" s="107">
        <f t="shared" si="47"/>
        <v>2571405.47</v>
      </c>
      <c r="J484" s="137"/>
      <c r="L484" s="122"/>
    </row>
    <row r="485" spans="1:12" ht="12.75">
      <c r="A485" s="15" t="s">
        <v>408</v>
      </c>
      <c r="B485" s="14" t="s">
        <v>300</v>
      </c>
      <c r="C485" s="14" t="s">
        <v>57</v>
      </c>
      <c r="D485" s="14" t="s">
        <v>55</v>
      </c>
      <c r="E485" s="14" t="s">
        <v>414</v>
      </c>
      <c r="F485" s="17" t="s">
        <v>407</v>
      </c>
      <c r="G485" s="107">
        <v>126000</v>
      </c>
      <c r="H485" s="107">
        <v>315000</v>
      </c>
      <c r="I485" s="107">
        <f t="shared" si="47"/>
        <v>441000</v>
      </c>
      <c r="J485" s="137"/>
      <c r="L485" s="122"/>
    </row>
    <row r="486" spans="1:10" ht="12.75">
      <c r="A486" s="2"/>
      <c r="B486" s="14"/>
      <c r="C486" s="14"/>
      <c r="D486" s="14"/>
      <c r="E486" s="14"/>
      <c r="F486" s="17"/>
      <c r="G486" s="107"/>
      <c r="H486" s="107"/>
      <c r="I486" s="107"/>
      <c r="J486" s="137"/>
    </row>
    <row r="487" spans="1:10" ht="12.75">
      <c r="A487" s="4" t="s">
        <v>430</v>
      </c>
      <c r="B487" s="19" t="s">
        <v>300</v>
      </c>
      <c r="C487" s="19" t="s">
        <v>57</v>
      </c>
      <c r="D487" s="19" t="s">
        <v>41</v>
      </c>
      <c r="E487" s="19"/>
      <c r="F487" s="37"/>
      <c r="G487" s="109">
        <f aca="true" t="shared" si="48" ref="G487:H490">G488</f>
        <v>40000</v>
      </c>
      <c r="H487" s="109">
        <f t="shared" si="48"/>
        <v>84000</v>
      </c>
      <c r="I487" s="109">
        <f>H487+G487</f>
        <v>124000</v>
      </c>
      <c r="J487" s="134"/>
    </row>
    <row r="488" spans="1:10" ht="12.75">
      <c r="A488" s="2" t="s">
        <v>128</v>
      </c>
      <c r="B488" s="1" t="s">
        <v>300</v>
      </c>
      <c r="C488" s="1" t="s">
        <v>57</v>
      </c>
      <c r="D488" s="1" t="s">
        <v>41</v>
      </c>
      <c r="E488" s="1" t="s">
        <v>42</v>
      </c>
      <c r="F488" s="37"/>
      <c r="G488" s="107">
        <f t="shared" si="48"/>
        <v>40000</v>
      </c>
      <c r="H488" s="107">
        <f t="shared" si="48"/>
        <v>84000</v>
      </c>
      <c r="I488" s="107">
        <f>H488+G488</f>
        <v>124000</v>
      </c>
      <c r="J488" s="137"/>
    </row>
    <row r="489" spans="1:10" ht="41.25" customHeight="1">
      <c r="A489" s="2" t="s">
        <v>101</v>
      </c>
      <c r="B489" s="1" t="s">
        <v>300</v>
      </c>
      <c r="C489" s="1" t="s">
        <v>57</v>
      </c>
      <c r="D489" s="1" t="s">
        <v>41</v>
      </c>
      <c r="E489" s="1" t="s">
        <v>43</v>
      </c>
      <c r="F489" s="37"/>
      <c r="G489" s="107">
        <f t="shared" si="48"/>
        <v>40000</v>
      </c>
      <c r="H489" s="107">
        <f t="shared" si="48"/>
        <v>84000</v>
      </c>
      <c r="I489" s="107">
        <f>H489+G489</f>
        <v>124000</v>
      </c>
      <c r="J489" s="137"/>
    </row>
    <row r="490" spans="1:10" ht="24.75" customHeight="1">
      <c r="A490" s="15" t="s">
        <v>431</v>
      </c>
      <c r="B490" s="14" t="s">
        <v>300</v>
      </c>
      <c r="C490" s="14" t="s">
        <v>57</v>
      </c>
      <c r="D490" s="14" t="s">
        <v>41</v>
      </c>
      <c r="E490" s="14" t="s">
        <v>432</v>
      </c>
      <c r="F490" s="17"/>
      <c r="G490" s="107">
        <f t="shared" si="48"/>
        <v>40000</v>
      </c>
      <c r="H490" s="107">
        <f t="shared" si="48"/>
        <v>84000</v>
      </c>
      <c r="I490" s="107">
        <f>H490+G490</f>
        <v>124000</v>
      </c>
      <c r="J490" s="137"/>
    </row>
    <row r="491" spans="1:11" ht="12.75">
      <c r="A491" s="15" t="s">
        <v>408</v>
      </c>
      <c r="B491" s="14" t="s">
        <v>300</v>
      </c>
      <c r="C491" s="14" t="s">
        <v>57</v>
      </c>
      <c r="D491" s="14" t="s">
        <v>41</v>
      </c>
      <c r="E491" s="14" t="s">
        <v>432</v>
      </c>
      <c r="F491" s="17" t="s">
        <v>407</v>
      </c>
      <c r="G491" s="107">
        <v>40000</v>
      </c>
      <c r="H491" s="107">
        <f>34000+50000</f>
        <v>84000</v>
      </c>
      <c r="I491" s="107">
        <f>H491+G491</f>
        <v>124000</v>
      </c>
      <c r="J491" s="137"/>
      <c r="K491">
        <v>34000</v>
      </c>
    </row>
    <row r="492" spans="1:10" ht="12.75">
      <c r="A492" s="2"/>
      <c r="B492" s="14"/>
      <c r="C492" s="14"/>
      <c r="D492" s="14"/>
      <c r="E492" s="14"/>
      <c r="F492" s="17"/>
      <c r="G492" s="107"/>
      <c r="H492" s="107"/>
      <c r="I492" s="107"/>
      <c r="J492" s="137"/>
    </row>
    <row r="493" spans="1:10" ht="15.75">
      <c r="A493" s="34" t="s">
        <v>363</v>
      </c>
      <c r="B493" s="41" t="s">
        <v>300</v>
      </c>
      <c r="C493" s="41" t="s">
        <v>17</v>
      </c>
      <c r="D493" s="14"/>
      <c r="E493" s="14"/>
      <c r="F493" s="17"/>
      <c r="G493" s="108">
        <f>SUM(G494)</f>
        <v>50000</v>
      </c>
      <c r="H493" s="108">
        <f>SUM(H494)</f>
        <v>0</v>
      </c>
      <c r="I493" s="108">
        <f>SUM(G493:H493)</f>
        <v>50000</v>
      </c>
      <c r="J493" s="133"/>
    </row>
    <row r="494" spans="1:10" ht="25.5">
      <c r="A494" s="4" t="s">
        <v>364</v>
      </c>
      <c r="B494" s="19" t="s">
        <v>300</v>
      </c>
      <c r="C494" s="19" t="s">
        <v>17</v>
      </c>
      <c r="D494" s="19" t="s">
        <v>41</v>
      </c>
      <c r="E494" s="14"/>
      <c r="F494" s="17"/>
      <c r="G494" s="109">
        <f aca="true" t="shared" si="49" ref="G494:H496">G495</f>
        <v>50000</v>
      </c>
      <c r="H494" s="109">
        <f t="shared" si="49"/>
        <v>0</v>
      </c>
      <c r="I494" s="109">
        <f>SUM(G494:H494)</f>
        <v>50000</v>
      </c>
      <c r="J494" s="134"/>
    </row>
    <row r="495" spans="1:10" ht="12.75">
      <c r="A495" s="2" t="s">
        <v>365</v>
      </c>
      <c r="B495" s="14" t="s">
        <v>300</v>
      </c>
      <c r="C495" s="14" t="s">
        <v>17</v>
      </c>
      <c r="D495" s="14" t="s">
        <v>41</v>
      </c>
      <c r="E495" s="14" t="s">
        <v>366</v>
      </c>
      <c r="F495" s="17"/>
      <c r="G495" s="107">
        <f t="shared" si="49"/>
        <v>50000</v>
      </c>
      <c r="H495" s="107">
        <f t="shared" si="49"/>
        <v>0</v>
      </c>
      <c r="I495" s="107">
        <f>SUM(G495:H495)</f>
        <v>50000</v>
      </c>
      <c r="J495" s="137"/>
    </row>
    <row r="496" spans="1:10" ht="12.75">
      <c r="A496" s="2" t="s">
        <v>367</v>
      </c>
      <c r="B496" s="14" t="s">
        <v>300</v>
      </c>
      <c r="C496" s="14" t="s">
        <v>17</v>
      </c>
      <c r="D496" s="14" t="s">
        <v>41</v>
      </c>
      <c r="E496" s="14" t="s">
        <v>368</v>
      </c>
      <c r="F496" s="17"/>
      <c r="G496" s="107">
        <f t="shared" si="49"/>
        <v>50000</v>
      </c>
      <c r="H496" s="107">
        <f t="shared" si="49"/>
        <v>0</v>
      </c>
      <c r="I496" s="107">
        <f>SUM(G496:H496)</f>
        <v>50000</v>
      </c>
      <c r="J496" s="137"/>
    </row>
    <row r="497" spans="1:10" ht="12.75">
      <c r="A497" s="15" t="s">
        <v>134</v>
      </c>
      <c r="B497" s="14" t="s">
        <v>300</v>
      </c>
      <c r="C497" s="14" t="s">
        <v>17</v>
      </c>
      <c r="D497" s="14" t="s">
        <v>41</v>
      </c>
      <c r="E497" s="14" t="s">
        <v>368</v>
      </c>
      <c r="F497" s="17" t="s">
        <v>133</v>
      </c>
      <c r="G497" s="107">
        <v>50000</v>
      </c>
      <c r="H497" s="107"/>
      <c r="I497" s="107">
        <f>SUM(G497:H497)</f>
        <v>50000</v>
      </c>
      <c r="J497" s="137"/>
    </row>
    <row r="498" spans="1:10" ht="12.75">
      <c r="A498" s="15"/>
      <c r="B498" s="14"/>
      <c r="C498" s="14"/>
      <c r="D498" s="14"/>
      <c r="E498" s="14"/>
      <c r="F498" s="17"/>
      <c r="G498" s="107"/>
      <c r="H498" s="107"/>
      <c r="I498" s="107"/>
      <c r="J498" s="137"/>
    </row>
    <row r="499" spans="1:10" ht="15.75">
      <c r="A499" s="34" t="s">
        <v>77</v>
      </c>
      <c r="B499" s="41" t="s">
        <v>300</v>
      </c>
      <c r="C499" s="41" t="s">
        <v>16</v>
      </c>
      <c r="D499" s="42"/>
      <c r="E499" s="42"/>
      <c r="F499" s="17"/>
      <c r="G499" s="108">
        <f>SUM(G500+G511)</f>
        <v>102199064.18</v>
      </c>
      <c r="H499" s="108">
        <f>SUM(H500+H511)</f>
        <v>-7000000</v>
      </c>
      <c r="I499" s="108">
        <f aca="true" t="shared" si="50" ref="I499:I511">SUM(G499:H499)</f>
        <v>95199064.18</v>
      </c>
      <c r="J499" s="133"/>
    </row>
    <row r="500" spans="1:10" ht="15">
      <c r="A500" s="4" t="s">
        <v>32</v>
      </c>
      <c r="B500" s="18" t="s">
        <v>300</v>
      </c>
      <c r="C500" s="18" t="s">
        <v>16</v>
      </c>
      <c r="D500" s="18" t="s">
        <v>59</v>
      </c>
      <c r="E500" s="42"/>
      <c r="F500" s="17"/>
      <c r="G500" s="109">
        <f>G505+G501</f>
        <v>2003953</v>
      </c>
      <c r="H500" s="109">
        <f>H505+H501</f>
        <v>0</v>
      </c>
      <c r="I500" s="109">
        <f>SUM(G500:H500)</f>
        <v>2003953</v>
      </c>
      <c r="J500" s="134"/>
    </row>
    <row r="501" spans="1:10" ht="12.75">
      <c r="A501" s="15" t="s">
        <v>128</v>
      </c>
      <c r="B501" s="1" t="s">
        <v>300</v>
      </c>
      <c r="C501" s="1" t="s">
        <v>16</v>
      </c>
      <c r="D501" s="1" t="s">
        <v>59</v>
      </c>
      <c r="E501" s="1" t="s">
        <v>42</v>
      </c>
      <c r="F501" s="17"/>
      <c r="G501" s="107">
        <f aca="true" t="shared" si="51" ref="G501:H503">G502</f>
        <v>2000000</v>
      </c>
      <c r="H501" s="107">
        <f t="shared" si="51"/>
        <v>0</v>
      </c>
      <c r="I501" s="107">
        <f t="shared" si="50"/>
        <v>2000000</v>
      </c>
      <c r="J501" s="137"/>
    </row>
    <row r="502" spans="1:10" ht="42.75" customHeight="1">
      <c r="A502" s="7" t="s">
        <v>101</v>
      </c>
      <c r="B502" s="1" t="s">
        <v>300</v>
      </c>
      <c r="C502" s="1" t="s">
        <v>16</v>
      </c>
      <c r="D502" s="1" t="s">
        <v>59</v>
      </c>
      <c r="E502" s="1" t="s">
        <v>43</v>
      </c>
      <c r="F502" s="17"/>
      <c r="G502" s="107">
        <f t="shared" si="51"/>
        <v>2000000</v>
      </c>
      <c r="H502" s="107">
        <f t="shared" si="51"/>
        <v>0</v>
      </c>
      <c r="I502" s="107">
        <f t="shared" si="50"/>
        <v>2000000</v>
      </c>
      <c r="J502" s="137"/>
    </row>
    <row r="503" spans="1:10" ht="89.25">
      <c r="A503" s="7" t="s">
        <v>419</v>
      </c>
      <c r="B503" s="1" t="s">
        <v>300</v>
      </c>
      <c r="C503" s="1" t="s">
        <v>16</v>
      </c>
      <c r="D503" s="1" t="s">
        <v>59</v>
      </c>
      <c r="E503" s="1" t="s">
        <v>420</v>
      </c>
      <c r="F503" s="17"/>
      <c r="G503" s="107">
        <f t="shared" si="51"/>
        <v>2000000</v>
      </c>
      <c r="H503" s="107">
        <f t="shared" si="51"/>
        <v>0</v>
      </c>
      <c r="I503" s="107">
        <f t="shared" si="50"/>
        <v>2000000</v>
      </c>
      <c r="J503" s="137"/>
    </row>
    <row r="504" spans="1:13" ht="12.75">
      <c r="A504" s="2" t="s">
        <v>181</v>
      </c>
      <c r="B504" s="1" t="s">
        <v>300</v>
      </c>
      <c r="C504" s="1" t="s">
        <v>16</v>
      </c>
      <c r="D504" s="1" t="s">
        <v>59</v>
      </c>
      <c r="E504" s="1" t="s">
        <v>420</v>
      </c>
      <c r="F504" s="17" t="s">
        <v>143</v>
      </c>
      <c r="G504" s="107">
        <v>2000000</v>
      </c>
      <c r="H504" s="107"/>
      <c r="I504" s="107">
        <f t="shared" si="50"/>
        <v>2000000</v>
      </c>
      <c r="J504" s="137"/>
      <c r="M504" s="122"/>
    </row>
    <row r="505" spans="1:10" ht="12.75">
      <c r="A505" s="2" t="s">
        <v>147</v>
      </c>
      <c r="B505" s="1" t="s">
        <v>300</v>
      </c>
      <c r="C505" s="1" t="s">
        <v>16</v>
      </c>
      <c r="D505" s="1" t="s">
        <v>59</v>
      </c>
      <c r="E505" s="1" t="s">
        <v>148</v>
      </c>
      <c r="F505" s="17"/>
      <c r="G505" s="111">
        <f>G506</f>
        <v>3953</v>
      </c>
      <c r="H505" s="111">
        <f>H506</f>
        <v>0</v>
      </c>
      <c r="I505" s="107">
        <f t="shared" si="50"/>
        <v>3953</v>
      </c>
      <c r="J505" s="137"/>
    </row>
    <row r="506" spans="1:10" ht="38.25">
      <c r="A506" s="7" t="s">
        <v>352</v>
      </c>
      <c r="B506" s="14" t="s">
        <v>300</v>
      </c>
      <c r="C506" s="14" t="s">
        <v>16</v>
      </c>
      <c r="D506" s="14" t="s">
        <v>59</v>
      </c>
      <c r="E506" s="14" t="s">
        <v>215</v>
      </c>
      <c r="F506" s="21"/>
      <c r="G506" s="111">
        <f>G507</f>
        <v>3953</v>
      </c>
      <c r="H506" s="111">
        <f>H507</f>
        <v>0</v>
      </c>
      <c r="I506" s="107">
        <f t="shared" si="50"/>
        <v>3953</v>
      </c>
      <c r="J506" s="137"/>
    </row>
    <row r="507" spans="1:10" ht="12.75">
      <c r="A507" s="7" t="s">
        <v>219</v>
      </c>
      <c r="B507" s="14" t="s">
        <v>300</v>
      </c>
      <c r="C507" s="14" t="s">
        <v>16</v>
      </c>
      <c r="D507" s="14" t="s">
        <v>59</v>
      </c>
      <c r="E507" s="14" t="s">
        <v>218</v>
      </c>
      <c r="F507" s="21"/>
      <c r="G507" s="111">
        <f>SUM(G508:G509)</f>
        <v>3953</v>
      </c>
      <c r="H507" s="111">
        <f>SUM(H508:H509)</f>
        <v>0</v>
      </c>
      <c r="I507" s="107">
        <f t="shared" si="50"/>
        <v>3953</v>
      </c>
      <c r="J507" s="137"/>
    </row>
    <row r="508" spans="1:10" ht="12.75">
      <c r="A508" s="2" t="s">
        <v>181</v>
      </c>
      <c r="B508" s="87" t="s">
        <v>300</v>
      </c>
      <c r="C508" s="87" t="s">
        <v>16</v>
      </c>
      <c r="D508" s="87" t="s">
        <v>59</v>
      </c>
      <c r="E508" s="87" t="s">
        <v>218</v>
      </c>
      <c r="F508" s="88" t="s">
        <v>143</v>
      </c>
      <c r="G508" s="111">
        <v>0</v>
      </c>
      <c r="H508" s="111"/>
      <c r="I508" s="107">
        <f t="shared" si="50"/>
        <v>0</v>
      </c>
      <c r="J508" s="137"/>
    </row>
    <row r="509" spans="1:10" ht="12.75">
      <c r="A509" s="15" t="s">
        <v>134</v>
      </c>
      <c r="B509" s="87" t="s">
        <v>300</v>
      </c>
      <c r="C509" s="87" t="s">
        <v>16</v>
      </c>
      <c r="D509" s="87" t="s">
        <v>59</v>
      </c>
      <c r="E509" s="87" t="s">
        <v>218</v>
      </c>
      <c r="F509" s="88" t="s">
        <v>133</v>
      </c>
      <c r="G509" s="111">
        <v>3953</v>
      </c>
      <c r="H509" s="111"/>
      <c r="I509" s="107">
        <f t="shared" si="50"/>
        <v>3953</v>
      </c>
      <c r="J509" s="137"/>
    </row>
    <row r="510" spans="1:10" ht="12.75">
      <c r="A510" s="2"/>
      <c r="B510" s="87"/>
      <c r="C510" s="87"/>
      <c r="D510" s="87"/>
      <c r="E510" s="87"/>
      <c r="F510" s="88"/>
      <c r="G510" s="111"/>
      <c r="H510" s="111"/>
      <c r="I510" s="107"/>
      <c r="J510" s="137"/>
    </row>
    <row r="511" spans="1:10" s="89" customFormat="1" ht="12.75">
      <c r="A511" s="4" t="s">
        <v>78</v>
      </c>
      <c r="B511" s="19" t="s">
        <v>300</v>
      </c>
      <c r="C511" s="19" t="s">
        <v>16</v>
      </c>
      <c r="D511" s="19" t="s">
        <v>55</v>
      </c>
      <c r="E511" s="19"/>
      <c r="F511" s="37"/>
      <c r="G511" s="109">
        <f>G516+G512</f>
        <v>100195111.18</v>
      </c>
      <c r="H511" s="109">
        <f>H516+H512</f>
        <v>-7000000</v>
      </c>
      <c r="I511" s="109">
        <f t="shared" si="50"/>
        <v>93195111.18</v>
      </c>
      <c r="J511" s="134"/>
    </row>
    <row r="512" spans="1:10" s="89" customFormat="1" ht="12.75">
      <c r="A512" s="2" t="s">
        <v>140</v>
      </c>
      <c r="B512" s="87" t="s">
        <v>300</v>
      </c>
      <c r="C512" s="87" t="s">
        <v>16</v>
      </c>
      <c r="D512" s="87" t="s">
        <v>55</v>
      </c>
      <c r="E512" s="87" t="s">
        <v>141</v>
      </c>
      <c r="F512" s="88"/>
      <c r="G512" s="110">
        <f>SUM(G513)</f>
        <v>76020600</v>
      </c>
      <c r="H512" s="110">
        <f>SUM(H513)</f>
        <v>0</v>
      </c>
      <c r="I512" s="107">
        <f aca="true" t="shared" si="52" ref="I512:I519">SUM(G512:H512)</f>
        <v>76020600</v>
      </c>
      <c r="J512" s="137"/>
    </row>
    <row r="513" spans="1:10" ht="38.25">
      <c r="A513" s="7" t="s">
        <v>290</v>
      </c>
      <c r="B513" s="87" t="s">
        <v>300</v>
      </c>
      <c r="C513" s="87" t="s">
        <v>16</v>
      </c>
      <c r="D513" s="87" t="s">
        <v>55</v>
      </c>
      <c r="E513" s="14" t="s">
        <v>289</v>
      </c>
      <c r="F513" s="21"/>
      <c r="G513" s="107">
        <f>SUM(G514:G514)</f>
        <v>76020600</v>
      </c>
      <c r="H513" s="107">
        <f>SUM(H514:H514)</f>
        <v>0</v>
      </c>
      <c r="I513" s="107">
        <f t="shared" si="52"/>
        <v>76020600</v>
      </c>
      <c r="J513" s="137"/>
    </row>
    <row r="514" spans="1:10" ht="64.5" customHeight="1">
      <c r="A514" s="7" t="s">
        <v>313</v>
      </c>
      <c r="B514" s="87" t="s">
        <v>300</v>
      </c>
      <c r="C514" s="87" t="s">
        <v>16</v>
      </c>
      <c r="D514" s="87" t="s">
        <v>55</v>
      </c>
      <c r="E514" s="14" t="s">
        <v>289</v>
      </c>
      <c r="F514" s="21" t="s">
        <v>264</v>
      </c>
      <c r="G514" s="107">
        <v>76020600</v>
      </c>
      <c r="H514" s="107"/>
      <c r="I514" s="107">
        <f t="shared" si="52"/>
        <v>76020600</v>
      </c>
      <c r="J514" s="137"/>
    </row>
    <row r="515" spans="1:10" s="89" customFormat="1" ht="12.75">
      <c r="A515" s="2" t="s">
        <v>147</v>
      </c>
      <c r="B515" s="87" t="s">
        <v>300</v>
      </c>
      <c r="C515" s="87" t="s">
        <v>16</v>
      </c>
      <c r="D515" s="87" t="s">
        <v>55</v>
      </c>
      <c r="E515" s="87" t="s">
        <v>148</v>
      </c>
      <c r="F515" s="88"/>
      <c r="G515" s="110">
        <f>G516</f>
        <v>24174511.18</v>
      </c>
      <c r="H515" s="110">
        <f>H516</f>
        <v>-7000000</v>
      </c>
      <c r="I515" s="107">
        <f t="shared" si="52"/>
        <v>17174511.18</v>
      </c>
      <c r="J515" s="137"/>
    </row>
    <row r="516" spans="1:10" ht="38.25">
      <c r="A516" s="7" t="s">
        <v>352</v>
      </c>
      <c r="B516" s="14" t="s">
        <v>300</v>
      </c>
      <c r="C516" s="14" t="s">
        <v>16</v>
      </c>
      <c r="D516" s="14" t="s">
        <v>55</v>
      </c>
      <c r="E516" s="14" t="s">
        <v>215</v>
      </c>
      <c r="F516" s="21"/>
      <c r="G516" s="107">
        <f>+G517</f>
        <v>24174511.18</v>
      </c>
      <c r="H516" s="107">
        <f>+H517</f>
        <v>-7000000</v>
      </c>
      <c r="I516" s="107">
        <f t="shared" si="52"/>
        <v>17174511.18</v>
      </c>
      <c r="J516" s="137"/>
    </row>
    <row r="517" spans="1:10" ht="12.75">
      <c r="A517" s="7" t="s">
        <v>219</v>
      </c>
      <c r="B517" s="14" t="s">
        <v>300</v>
      </c>
      <c r="C517" s="14" t="s">
        <v>16</v>
      </c>
      <c r="D517" s="14" t="s">
        <v>55</v>
      </c>
      <c r="E517" s="14" t="s">
        <v>218</v>
      </c>
      <c r="F517" s="21"/>
      <c r="G517" s="107">
        <f>SUM(G518:G519)</f>
        <v>24174511.18</v>
      </c>
      <c r="H517" s="107">
        <f>SUM(H518:H519)</f>
        <v>-7000000</v>
      </c>
      <c r="I517" s="107">
        <f t="shared" si="52"/>
        <v>17174511.18</v>
      </c>
      <c r="J517" s="137"/>
    </row>
    <row r="518" spans="1:12" s="89" customFormat="1" ht="12.75">
      <c r="A518" s="2" t="s">
        <v>181</v>
      </c>
      <c r="B518" s="87" t="s">
        <v>300</v>
      </c>
      <c r="C518" s="87" t="s">
        <v>16</v>
      </c>
      <c r="D518" s="87" t="s">
        <v>55</v>
      </c>
      <c r="E518" s="87" t="s">
        <v>218</v>
      </c>
      <c r="F518" s="88" t="s">
        <v>143</v>
      </c>
      <c r="G518" s="110">
        <v>24030147.15</v>
      </c>
      <c r="H518" s="110">
        <f>-86452.25-6913547.75+144364.03-98462.5-96993.17</f>
        <v>-7051091.64</v>
      </c>
      <c r="I518" s="107">
        <f t="shared" si="52"/>
        <v>16979055.509999998</v>
      </c>
      <c r="J518" s="137"/>
      <c r="L518" s="124"/>
    </row>
    <row r="519" spans="1:12" s="89" customFormat="1" ht="12.75">
      <c r="A519" s="15" t="s">
        <v>134</v>
      </c>
      <c r="B519" s="87" t="s">
        <v>300</v>
      </c>
      <c r="C519" s="87" t="s">
        <v>16</v>
      </c>
      <c r="D519" s="87" t="s">
        <v>55</v>
      </c>
      <c r="E519" s="87" t="s">
        <v>218</v>
      </c>
      <c r="F519" s="88" t="s">
        <v>133</v>
      </c>
      <c r="G519" s="110">
        <v>144364.03</v>
      </c>
      <c r="H519" s="110">
        <f>-144364.03+98462.5+96993.17</f>
        <v>51091.64</v>
      </c>
      <c r="I519" s="107">
        <f t="shared" si="52"/>
        <v>195455.66999999998</v>
      </c>
      <c r="J519" s="137"/>
      <c r="L519" s="124"/>
    </row>
    <row r="520" spans="1:10" s="89" customFormat="1" ht="12.75">
      <c r="A520" s="2"/>
      <c r="B520" s="87"/>
      <c r="C520" s="87"/>
      <c r="D520" s="87"/>
      <c r="E520" s="87"/>
      <c r="F520" s="88"/>
      <c r="G520" s="110"/>
      <c r="H520" s="110"/>
      <c r="I520" s="110"/>
      <c r="J520" s="135"/>
    </row>
    <row r="521" spans="1:10" ht="15.75">
      <c r="A521" s="45" t="s">
        <v>204</v>
      </c>
      <c r="B521" s="41" t="s">
        <v>300</v>
      </c>
      <c r="C521" s="41" t="s">
        <v>84</v>
      </c>
      <c r="D521" s="42"/>
      <c r="E521" s="42"/>
      <c r="F521" s="43"/>
      <c r="G521" s="108">
        <f>+G522</f>
        <v>14146792</v>
      </c>
      <c r="H521" s="108">
        <f>+H522</f>
        <v>-1122500</v>
      </c>
      <c r="I521" s="108">
        <f aca="true" t="shared" si="53" ref="I521:I536">SUM(G521:H521)</f>
        <v>13024292</v>
      </c>
      <c r="J521" s="133"/>
    </row>
    <row r="522" spans="1:10" ht="12.75">
      <c r="A522" s="23" t="s">
        <v>85</v>
      </c>
      <c r="B522" s="19" t="s">
        <v>300</v>
      </c>
      <c r="C522" s="19" t="s">
        <v>84</v>
      </c>
      <c r="D522" s="19" t="s">
        <v>59</v>
      </c>
      <c r="E522" s="19"/>
      <c r="F522" s="37"/>
      <c r="G522" s="109">
        <f>+G525+G534+G523</f>
        <v>14146792</v>
      </c>
      <c r="H522" s="109">
        <f>+H525+H534+H523</f>
        <v>-1122500</v>
      </c>
      <c r="I522" s="109">
        <f>+I525+I534+I523</f>
        <v>13024292</v>
      </c>
      <c r="J522" s="109"/>
    </row>
    <row r="523" spans="1:10" ht="38.25">
      <c r="A523" s="7" t="s">
        <v>466</v>
      </c>
      <c r="B523" s="1" t="s">
        <v>300</v>
      </c>
      <c r="C523" s="1" t="s">
        <v>84</v>
      </c>
      <c r="D523" s="1" t="s">
        <v>59</v>
      </c>
      <c r="E523" s="1" t="s">
        <v>467</v>
      </c>
      <c r="F523" s="17"/>
      <c r="G523" s="111">
        <f>SUM(G524:G524)</f>
        <v>220000</v>
      </c>
      <c r="H523" s="111">
        <f>SUM(H524:H524)</f>
        <v>0</v>
      </c>
      <c r="I523" s="111">
        <f>SUM(I524:I524)</f>
        <v>220000</v>
      </c>
      <c r="J523" s="136"/>
    </row>
    <row r="524" spans="1:10" ht="12.75">
      <c r="A524" s="2" t="s">
        <v>129</v>
      </c>
      <c r="B524" s="1" t="s">
        <v>300</v>
      </c>
      <c r="C524" s="1" t="s">
        <v>84</v>
      </c>
      <c r="D524" s="1" t="s">
        <v>59</v>
      </c>
      <c r="E524" s="1" t="s">
        <v>467</v>
      </c>
      <c r="F524" s="17" t="s">
        <v>130</v>
      </c>
      <c r="G524" s="111">
        <v>220000</v>
      </c>
      <c r="H524" s="111"/>
      <c r="I524" s="111">
        <f>SUM(G524:H524)</f>
        <v>220000</v>
      </c>
      <c r="J524" s="136"/>
    </row>
    <row r="525" spans="1:10" ht="12.75">
      <c r="A525" s="2" t="s">
        <v>128</v>
      </c>
      <c r="B525" s="1" t="s">
        <v>300</v>
      </c>
      <c r="C525" s="1" t="s">
        <v>84</v>
      </c>
      <c r="D525" s="1" t="s">
        <v>59</v>
      </c>
      <c r="E525" s="14" t="s">
        <v>42</v>
      </c>
      <c r="F525" s="37"/>
      <c r="G525" s="111">
        <f>+G526</f>
        <v>13382792</v>
      </c>
      <c r="H525" s="111">
        <f>+H526</f>
        <v>-1122500</v>
      </c>
      <c r="I525" s="107">
        <f t="shared" si="53"/>
        <v>12260292</v>
      </c>
      <c r="J525" s="137"/>
    </row>
    <row r="526" spans="1:10" ht="39" customHeight="1">
      <c r="A526" s="2" t="s">
        <v>101</v>
      </c>
      <c r="B526" s="1" t="s">
        <v>300</v>
      </c>
      <c r="C526" s="1" t="s">
        <v>84</v>
      </c>
      <c r="D526" s="1" t="s">
        <v>59</v>
      </c>
      <c r="E526" s="14" t="s">
        <v>43</v>
      </c>
      <c r="F526" s="21"/>
      <c r="G526" s="111">
        <f>SUM(G527+G529+G532)</f>
        <v>13382792</v>
      </c>
      <c r="H526" s="111">
        <f>SUM(H527+H532+H529)</f>
        <v>-1122500</v>
      </c>
      <c r="I526" s="107">
        <f t="shared" si="53"/>
        <v>12260292</v>
      </c>
      <c r="J526" s="137"/>
    </row>
    <row r="527" spans="1:11" ht="63.75">
      <c r="A527" s="5" t="s">
        <v>205</v>
      </c>
      <c r="B527" s="1" t="s">
        <v>300</v>
      </c>
      <c r="C527" s="1" t="s">
        <v>84</v>
      </c>
      <c r="D527" s="1" t="s">
        <v>59</v>
      </c>
      <c r="E527" s="1" t="s">
        <v>47</v>
      </c>
      <c r="F527" s="17"/>
      <c r="G527" s="111">
        <f>+G528</f>
        <v>82300</v>
      </c>
      <c r="H527" s="111">
        <f>+H528</f>
        <v>0</v>
      </c>
      <c r="I527" s="107">
        <f t="shared" si="53"/>
        <v>82300</v>
      </c>
      <c r="J527" s="137"/>
      <c r="K527" s="30"/>
    </row>
    <row r="528" spans="1:10" ht="12.75">
      <c r="A528" s="2" t="s">
        <v>129</v>
      </c>
      <c r="B528" s="1" t="s">
        <v>300</v>
      </c>
      <c r="C528" s="1" t="s">
        <v>84</v>
      </c>
      <c r="D528" s="1" t="s">
        <v>59</v>
      </c>
      <c r="E528" s="1" t="s">
        <v>47</v>
      </c>
      <c r="F528" s="17" t="s">
        <v>130</v>
      </c>
      <c r="G528" s="111">
        <v>82300</v>
      </c>
      <c r="H528" s="111"/>
      <c r="I528" s="107">
        <f t="shared" si="53"/>
        <v>82300</v>
      </c>
      <c r="J528" s="137"/>
    </row>
    <row r="529" spans="1:10" ht="63.75">
      <c r="A529" s="2" t="s">
        <v>428</v>
      </c>
      <c r="B529" s="1" t="s">
        <v>300</v>
      </c>
      <c r="C529" s="1" t="s">
        <v>84</v>
      </c>
      <c r="D529" s="1" t="s">
        <v>59</v>
      </c>
      <c r="E529" s="3" t="s">
        <v>429</v>
      </c>
      <c r="F529" s="17"/>
      <c r="G529" s="111">
        <f>SUM(G530:G531)</f>
        <v>12994000</v>
      </c>
      <c r="H529" s="111">
        <f>SUM(H530:H531)</f>
        <v>-1122500</v>
      </c>
      <c r="I529" s="107">
        <f t="shared" si="53"/>
        <v>11871500</v>
      </c>
      <c r="J529" s="137"/>
    </row>
    <row r="530" spans="1:13" ht="12.75">
      <c r="A530" s="2" t="s">
        <v>129</v>
      </c>
      <c r="B530" s="1" t="s">
        <v>300</v>
      </c>
      <c r="C530" s="1" t="s">
        <v>84</v>
      </c>
      <c r="D530" s="1" t="s">
        <v>59</v>
      </c>
      <c r="E530" s="3" t="s">
        <v>429</v>
      </c>
      <c r="F530" s="17" t="s">
        <v>130</v>
      </c>
      <c r="G530" s="111">
        <v>2159500</v>
      </c>
      <c r="H530" s="111">
        <f>164000+1400000</f>
        <v>1564000</v>
      </c>
      <c r="I530" s="107">
        <f t="shared" si="53"/>
        <v>3723500</v>
      </c>
      <c r="J530" s="137"/>
      <c r="M530" s="122"/>
    </row>
    <row r="531" spans="1:13" ht="12.75">
      <c r="A531" s="15" t="s">
        <v>134</v>
      </c>
      <c r="B531" s="1" t="s">
        <v>300</v>
      </c>
      <c r="C531" s="1" t="s">
        <v>84</v>
      </c>
      <c r="D531" s="1" t="s">
        <v>59</v>
      </c>
      <c r="E531" s="3" t="s">
        <v>429</v>
      </c>
      <c r="F531" s="17" t="s">
        <v>133</v>
      </c>
      <c r="G531" s="111">
        <v>10834500</v>
      </c>
      <c r="H531" s="111">
        <f>-178500-164000-644000-1700000</f>
        <v>-2686500</v>
      </c>
      <c r="I531" s="107">
        <f t="shared" si="53"/>
        <v>8148000</v>
      </c>
      <c r="J531" s="137"/>
      <c r="M531" s="122"/>
    </row>
    <row r="532" spans="1:10" ht="25.5">
      <c r="A532" s="2" t="s">
        <v>417</v>
      </c>
      <c r="B532" s="1" t="s">
        <v>300</v>
      </c>
      <c r="C532" s="1" t="s">
        <v>84</v>
      </c>
      <c r="D532" s="1" t="s">
        <v>59</v>
      </c>
      <c r="E532" s="1" t="s">
        <v>418</v>
      </c>
      <c r="F532" s="17"/>
      <c r="G532" s="111">
        <f>G533</f>
        <v>306492</v>
      </c>
      <c r="H532" s="111">
        <f>H533</f>
        <v>0</v>
      </c>
      <c r="I532" s="107">
        <f t="shared" si="53"/>
        <v>306492</v>
      </c>
      <c r="J532" s="137"/>
    </row>
    <row r="533" spans="1:12" ht="12.75">
      <c r="A533" s="7" t="s">
        <v>408</v>
      </c>
      <c r="B533" s="1" t="s">
        <v>300</v>
      </c>
      <c r="C533" s="1" t="s">
        <v>84</v>
      </c>
      <c r="D533" s="1" t="s">
        <v>59</v>
      </c>
      <c r="E533" s="1" t="s">
        <v>418</v>
      </c>
      <c r="F533" s="17" t="s">
        <v>407</v>
      </c>
      <c r="G533" s="111">
        <v>306492</v>
      </c>
      <c r="H533" s="111"/>
      <c r="I533" s="107">
        <f t="shared" si="53"/>
        <v>306492</v>
      </c>
      <c r="J533" s="137"/>
      <c r="L533" s="122"/>
    </row>
    <row r="534" spans="1:10" ht="12.75">
      <c r="A534" s="2" t="s">
        <v>147</v>
      </c>
      <c r="B534" s="1" t="s">
        <v>300</v>
      </c>
      <c r="C534" s="1" t="s">
        <v>84</v>
      </c>
      <c r="D534" s="1" t="s">
        <v>59</v>
      </c>
      <c r="E534" s="1" t="s">
        <v>148</v>
      </c>
      <c r="F534" s="17"/>
      <c r="G534" s="111">
        <f>G535</f>
        <v>544000</v>
      </c>
      <c r="H534" s="111">
        <f>H535</f>
        <v>0</v>
      </c>
      <c r="I534" s="107">
        <f t="shared" si="53"/>
        <v>544000</v>
      </c>
      <c r="J534" s="137"/>
    </row>
    <row r="535" spans="1:10" ht="25.5">
      <c r="A535" s="2" t="s">
        <v>406</v>
      </c>
      <c r="B535" s="1" t="s">
        <v>300</v>
      </c>
      <c r="C535" s="1" t="s">
        <v>84</v>
      </c>
      <c r="D535" s="1" t="s">
        <v>59</v>
      </c>
      <c r="E535" s="1" t="s">
        <v>284</v>
      </c>
      <c r="F535" s="17"/>
      <c r="G535" s="111">
        <f>G536</f>
        <v>544000</v>
      </c>
      <c r="H535" s="111">
        <f>H536</f>
        <v>0</v>
      </c>
      <c r="I535" s="107">
        <f t="shared" si="53"/>
        <v>544000</v>
      </c>
      <c r="J535" s="137"/>
    </row>
    <row r="536" spans="1:12" ht="12.75">
      <c r="A536" s="7" t="s">
        <v>408</v>
      </c>
      <c r="B536" s="1" t="s">
        <v>300</v>
      </c>
      <c r="C536" s="1" t="s">
        <v>84</v>
      </c>
      <c r="D536" s="1" t="s">
        <v>59</v>
      </c>
      <c r="E536" s="1" t="s">
        <v>284</v>
      </c>
      <c r="F536" s="17" t="s">
        <v>407</v>
      </c>
      <c r="G536" s="111">
        <v>544000</v>
      </c>
      <c r="H536" s="111"/>
      <c r="I536" s="107">
        <f t="shared" si="53"/>
        <v>544000</v>
      </c>
      <c r="J536" s="137"/>
      <c r="L536" s="122"/>
    </row>
    <row r="537" spans="1:10" ht="12.75">
      <c r="A537" s="2"/>
      <c r="B537" s="1"/>
      <c r="C537" s="1"/>
      <c r="D537" s="1"/>
      <c r="E537" s="1"/>
      <c r="F537" s="17"/>
      <c r="G537" s="111"/>
      <c r="H537" s="111"/>
      <c r="I537" s="111"/>
      <c r="J537" s="136"/>
    </row>
    <row r="538" spans="1:10" ht="15.75">
      <c r="A538" s="34" t="s">
        <v>22</v>
      </c>
      <c r="B538" s="41" t="s">
        <v>300</v>
      </c>
      <c r="C538" s="41" t="s">
        <v>88</v>
      </c>
      <c r="D538" s="41"/>
      <c r="E538" s="41"/>
      <c r="F538" s="44"/>
      <c r="G538" s="108">
        <f>G539+G544+G568+G580</f>
        <v>13486599.34</v>
      </c>
      <c r="H538" s="108">
        <f>H539+H544+H568+H580</f>
        <v>486608.35</v>
      </c>
      <c r="I538" s="108">
        <f>SUM(G538:H538)</f>
        <v>13973207.69</v>
      </c>
      <c r="J538" s="133"/>
    </row>
    <row r="539" spans="1:10" ht="12.75">
      <c r="A539" s="4" t="s">
        <v>23</v>
      </c>
      <c r="B539" s="19" t="s">
        <v>300</v>
      </c>
      <c r="C539" s="19" t="s">
        <v>88</v>
      </c>
      <c r="D539" s="19" t="s">
        <v>59</v>
      </c>
      <c r="E539" s="19"/>
      <c r="F539" s="37"/>
      <c r="G539" s="109">
        <f aca="true" t="shared" si="54" ref="G539:H541">G540</f>
        <v>2700000</v>
      </c>
      <c r="H539" s="109">
        <f t="shared" si="54"/>
        <v>0</v>
      </c>
      <c r="I539" s="109">
        <f>SUM(G539:H539)</f>
        <v>2700000</v>
      </c>
      <c r="J539" s="134"/>
    </row>
    <row r="540" spans="1:10" ht="12.75" customHeight="1">
      <c r="A540" s="13" t="s">
        <v>24</v>
      </c>
      <c r="B540" s="14" t="s">
        <v>300</v>
      </c>
      <c r="C540" s="14" t="s">
        <v>88</v>
      </c>
      <c r="D540" s="14" t="s">
        <v>59</v>
      </c>
      <c r="E540" s="14" t="s">
        <v>0</v>
      </c>
      <c r="F540" s="21"/>
      <c r="G540" s="111">
        <f t="shared" si="54"/>
        <v>2700000</v>
      </c>
      <c r="H540" s="111">
        <f t="shared" si="54"/>
        <v>0</v>
      </c>
      <c r="I540" s="107">
        <f>SUM(G540:H540)</f>
        <v>2700000</v>
      </c>
      <c r="J540" s="137"/>
    </row>
    <row r="541" spans="1:10" ht="25.5" customHeight="1">
      <c r="A541" s="13" t="s">
        <v>25</v>
      </c>
      <c r="B541" s="14" t="s">
        <v>300</v>
      </c>
      <c r="C541" s="14" t="s">
        <v>88</v>
      </c>
      <c r="D541" s="14" t="s">
        <v>59</v>
      </c>
      <c r="E541" s="14" t="s">
        <v>26</v>
      </c>
      <c r="F541" s="21"/>
      <c r="G541" s="111">
        <f t="shared" si="54"/>
        <v>2700000</v>
      </c>
      <c r="H541" s="111">
        <f t="shared" si="54"/>
        <v>0</v>
      </c>
      <c r="I541" s="107">
        <f>SUM(G541:H541)</f>
        <v>2700000</v>
      </c>
      <c r="J541" s="137"/>
    </row>
    <row r="542" spans="1:10" ht="12.75">
      <c r="A542" s="13" t="s">
        <v>83</v>
      </c>
      <c r="B542" s="14" t="s">
        <v>300</v>
      </c>
      <c r="C542" s="14" t="s">
        <v>88</v>
      </c>
      <c r="D542" s="14" t="s">
        <v>59</v>
      </c>
      <c r="E542" s="14" t="s">
        <v>26</v>
      </c>
      <c r="F542" s="21" t="s">
        <v>56</v>
      </c>
      <c r="G542" s="111">
        <v>2700000</v>
      </c>
      <c r="H542" s="111"/>
      <c r="I542" s="107">
        <f>SUM(G542:H542)</f>
        <v>2700000</v>
      </c>
      <c r="J542" s="137"/>
    </row>
    <row r="543" spans="1:10" ht="12.75">
      <c r="A543" s="4"/>
      <c r="B543" s="1"/>
      <c r="C543" s="1"/>
      <c r="D543" s="1"/>
      <c r="E543" s="1"/>
      <c r="F543" s="17"/>
      <c r="G543" s="111"/>
      <c r="H543" s="111"/>
      <c r="I543" s="111"/>
      <c r="J543" s="136"/>
    </row>
    <row r="544" spans="1:10" ht="12.75">
      <c r="A544" s="4" t="s">
        <v>27</v>
      </c>
      <c r="B544" s="19" t="s">
        <v>300</v>
      </c>
      <c r="C544" s="19" t="s">
        <v>88</v>
      </c>
      <c r="D544" s="19" t="s">
        <v>41</v>
      </c>
      <c r="E544" s="1"/>
      <c r="F544" s="17"/>
      <c r="G544" s="109">
        <f>+G545+G548+G562+G557</f>
        <v>6375899.34</v>
      </c>
      <c r="H544" s="109">
        <f>+H545+H548+H562+H557</f>
        <v>486608.35</v>
      </c>
      <c r="I544" s="109">
        <f>+I545+I548+I562+I557</f>
        <v>6862507.6899999995</v>
      </c>
      <c r="J544" s="134"/>
    </row>
    <row r="545" spans="1:10" ht="12.75">
      <c r="A545" s="2" t="s">
        <v>394</v>
      </c>
      <c r="B545" s="1" t="s">
        <v>300</v>
      </c>
      <c r="C545" s="1" t="s">
        <v>88</v>
      </c>
      <c r="D545" s="1" t="s">
        <v>41</v>
      </c>
      <c r="E545" s="1" t="s">
        <v>395</v>
      </c>
      <c r="F545" s="17"/>
      <c r="G545" s="107">
        <f>G546</f>
        <v>120712</v>
      </c>
      <c r="H545" s="107">
        <f>H546</f>
        <v>435000</v>
      </c>
      <c r="I545" s="111">
        <f>SUM(G545:H545)</f>
        <v>555712</v>
      </c>
      <c r="J545" s="136"/>
    </row>
    <row r="546" spans="1:10" ht="25.5">
      <c r="A546" s="2" t="s">
        <v>448</v>
      </c>
      <c r="B546" s="1" t="s">
        <v>300</v>
      </c>
      <c r="C546" s="1" t="s">
        <v>88</v>
      </c>
      <c r="D546" s="1" t="s">
        <v>41</v>
      </c>
      <c r="E546" s="1" t="s">
        <v>439</v>
      </c>
      <c r="F546" s="17"/>
      <c r="G546" s="107">
        <f>G547</f>
        <v>120712</v>
      </c>
      <c r="H546" s="107">
        <f>H547</f>
        <v>435000</v>
      </c>
      <c r="I546" s="111">
        <f>SUM(G546:H546)</f>
        <v>555712</v>
      </c>
      <c r="J546" s="136"/>
    </row>
    <row r="547" spans="1:10" ht="38.25">
      <c r="A547" s="2" t="s">
        <v>440</v>
      </c>
      <c r="B547" s="1" t="s">
        <v>300</v>
      </c>
      <c r="C547" s="1" t="s">
        <v>88</v>
      </c>
      <c r="D547" s="1" t="s">
        <v>41</v>
      </c>
      <c r="E547" s="1" t="s">
        <v>439</v>
      </c>
      <c r="F547" s="17" t="s">
        <v>176</v>
      </c>
      <c r="G547" s="107">
        <v>120712</v>
      </c>
      <c r="H547" s="107">
        <v>435000</v>
      </c>
      <c r="I547" s="111">
        <f>SUM(G547:H547)</f>
        <v>555712</v>
      </c>
      <c r="J547" s="136"/>
    </row>
    <row r="548" spans="1:10" ht="12.75">
      <c r="A548" s="7" t="s">
        <v>29</v>
      </c>
      <c r="B548" s="1" t="s">
        <v>300</v>
      </c>
      <c r="C548" s="1" t="s">
        <v>88</v>
      </c>
      <c r="D548" s="1" t="s">
        <v>41</v>
      </c>
      <c r="E548" s="1" t="s">
        <v>30</v>
      </c>
      <c r="F548" s="17"/>
      <c r="G548" s="111">
        <f>G549+G552+G555</f>
        <v>5156560</v>
      </c>
      <c r="H548" s="111">
        <f>H549+H552+H555</f>
        <v>54565.34</v>
      </c>
      <c r="I548" s="107">
        <f aca="true" t="shared" si="55" ref="I548:I566">SUM(G548:H548)</f>
        <v>5211125.34</v>
      </c>
      <c r="J548" s="137"/>
    </row>
    <row r="549" spans="1:10" ht="12.75">
      <c r="A549" s="2" t="s">
        <v>28</v>
      </c>
      <c r="B549" s="1" t="s">
        <v>300</v>
      </c>
      <c r="C549" s="1" t="s">
        <v>88</v>
      </c>
      <c r="D549" s="1" t="s">
        <v>41</v>
      </c>
      <c r="E549" s="1" t="s">
        <v>31</v>
      </c>
      <c r="F549" s="17"/>
      <c r="G549" s="111">
        <f>SUM(G550:G551)</f>
        <v>227360</v>
      </c>
      <c r="H549" s="111">
        <f>SUM(H550:H551)</f>
        <v>54565.34</v>
      </c>
      <c r="I549" s="107">
        <f t="shared" si="55"/>
        <v>281925.33999999997</v>
      </c>
      <c r="J549" s="137"/>
    </row>
    <row r="550" spans="1:11" ht="12.75">
      <c r="A550" s="2" t="s">
        <v>10</v>
      </c>
      <c r="B550" s="1" t="s">
        <v>300</v>
      </c>
      <c r="C550" s="1" t="s">
        <v>88</v>
      </c>
      <c r="D550" s="1" t="s">
        <v>41</v>
      </c>
      <c r="E550" s="1" t="s">
        <v>31</v>
      </c>
      <c r="F550" s="17" t="s">
        <v>56</v>
      </c>
      <c r="G550" s="111">
        <v>115760</v>
      </c>
      <c r="H550" s="111">
        <f>5000+20000</f>
        <v>25000</v>
      </c>
      <c r="I550" s="107">
        <f t="shared" si="55"/>
        <v>140760</v>
      </c>
      <c r="J550" s="137"/>
      <c r="K550">
        <f>5000+20000</f>
        <v>25000</v>
      </c>
    </row>
    <row r="551" spans="1:11" ht="12.75">
      <c r="A551" s="2" t="s">
        <v>66</v>
      </c>
      <c r="B551" s="1" t="s">
        <v>300</v>
      </c>
      <c r="C551" s="1" t="s">
        <v>88</v>
      </c>
      <c r="D551" s="1" t="s">
        <v>41</v>
      </c>
      <c r="E551" s="1" t="s">
        <v>31</v>
      </c>
      <c r="F551" s="17" t="s">
        <v>36</v>
      </c>
      <c r="G551" s="111">
        <v>111600</v>
      </c>
      <c r="H551" s="111">
        <f>17165.34+12400</f>
        <v>29565.34</v>
      </c>
      <c r="I551" s="107">
        <f t="shared" si="55"/>
        <v>141165.34</v>
      </c>
      <c r="J551" s="137"/>
      <c r="K551">
        <v>17165.34</v>
      </c>
    </row>
    <row r="552" spans="1:10" ht="51.75" customHeight="1">
      <c r="A552" s="2" t="s">
        <v>202</v>
      </c>
      <c r="B552" s="1" t="s">
        <v>300</v>
      </c>
      <c r="C552" s="1" t="s">
        <v>88</v>
      </c>
      <c r="D552" s="1" t="s">
        <v>41</v>
      </c>
      <c r="E552" s="1" t="s">
        <v>182</v>
      </c>
      <c r="F552" s="17"/>
      <c r="G552" s="111">
        <f>G553</f>
        <v>96500</v>
      </c>
      <c r="H552" s="111">
        <f>H553</f>
        <v>0</v>
      </c>
      <c r="I552" s="107">
        <f t="shared" si="55"/>
        <v>96500</v>
      </c>
      <c r="J552" s="137"/>
    </row>
    <row r="553" spans="1:10" ht="51">
      <c r="A553" s="2" t="s">
        <v>203</v>
      </c>
      <c r="B553" s="1" t="s">
        <v>300</v>
      </c>
      <c r="C553" s="1" t="s">
        <v>88</v>
      </c>
      <c r="D553" s="1" t="s">
        <v>41</v>
      </c>
      <c r="E553" s="1" t="s">
        <v>183</v>
      </c>
      <c r="F553" s="17"/>
      <c r="G553" s="111">
        <f>SUM(G554:G554)</f>
        <v>96500</v>
      </c>
      <c r="H553" s="111">
        <f>SUM(H554:H554)</f>
        <v>0</v>
      </c>
      <c r="I553" s="107">
        <f t="shared" si="55"/>
        <v>96500</v>
      </c>
      <c r="J553" s="137"/>
    </row>
    <row r="554" spans="1:10" ht="12.75">
      <c r="A554" s="2" t="s">
        <v>67</v>
      </c>
      <c r="B554" s="1" t="s">
        <v>300</v>
      </c>
      <c r="C554" s="1" t="s">
        <v>88</v>
      </c>
      <c r="D554" s="1" t="s">
        <v>41</v>
      </c>
      <c r="E554" s="1" t="s">
        <v>183</v>
      </c>
      <c r="F554" s="17" t="s">
        <v>60</v>
      </c>
      <c r="G554" s="111">
        <v>96500</v>
      </c>
      <c r="H554" s="111"/>
      <c r="I554" s="107">
        <f t="shared" si="55"/>
        <v>96500</v>
      </c>
      <c r="J554" s="137"/>
    </row>
    <row r="555" spans="1:10" ht="25.5">
      <c r="A555" s="2" t="s">
        <v>62</v>
      </c>
      <c r="B555" s="1" t="s">
        <v>300</v>
      </c>
      <c r="C555" s="1" t="s">
        <v>88</v>
      </c>
      <c r="D555" s="1" t="s">
        <v>41</v>
      </c>
      <c r="E555" s="1" t="s">
        <v>63</v>
      </c>
      <c r="F555" s="17"/>
      <c r="G555" s="111">
        <f>SUM(G556)</f>
        <v>4832700</v>
      </c>
      <c r="H555" s="111">
        <f>SUM(H556)</f>
        <v>0</v>
      </c>
      <c r="I555" s="107">
        <f t="shared" si="55"/>
        <v>4832700</v>
      </c>
      <c r="J555" s="137"/>
    </row>
    <row r="556" spans="1:13" ht="12.75">
      <c r="A556" s="8" t="s">
        <v>10</v>
      </c>
      <c r="B556" s="1" t="s">
        <v>300</v>
      </c>
      <c r="C556" s="1" t="s">
        <v>88</v>
      </c>
      <c r="D556" s="1" t="s">
        <v>41</v>
      </c>
      <c r="E556" s="1" t="s">
        <v>63</v>
      </c>
      <c r="F556" s="17" t="s">
        <v>56</v>
      </c>
      <c r="G556" s="111">
        <v>4832700</v>
      </c>
      <c r="H556" s="111"/>
      <c r="I556" s="107">
        <f t="shared" si="55"/>
        <v>4832700</v>
      </c>
      <c r="J556" s="137"/>
      <c r="M556" s="122"/>
    </row>
    <row r="557" spans="1:10" ht="12.75">
      <c r="A557" s="2" t="s">
        <v>140</v>
      </c>
      <c r="B557" s="14" t="s">
        <v>300</v>
      </c>
      <c r="C557" s="14" t="s">
        <v>88</v>
      </c>
      <c r="D557" s="14" t="s">
        <v>41</v>
      </c>
      <c r="E557" s="14" t="s">
        <v>141</v>
      </c>
      <c r="F557" s="17"/>
      <c r="G557" s="111">
        <f>G558+G560</f>
        <v>773827.34</v>
      </c>
      <c r="H557" s="111">
        <f>H558+H560</f>
        <v>0</v>
      </c>
      <c r="I557" s="111">
        <f>I558+I560</f>
        <v>773827.34</v>
      </c>
      <c r="J557" s="136"/>
    </row>
    <row r="558" spans="1:10" ht="38.25">
      <c r="A558" s="8" t="s">
        <v>442</v>
      </c>
      <c r="B558" s="14" t="s">
        <v>300</v>
      </c>
      <c r="C558" s="14" t="s">
        <v>88</v>
      </c>
      <c r="D558" s="14" t="s">
        <v>41</v>
      </c>
      <c r="E558" s="14" t="s">
        <v>441</v>
      </c>
      <c r="F558" s="17"/>
      <c r="G558" s="111">
        <f>G559</f>
        <v>598060</v>
      </c>
      <c r="H558" s="111">
        <f>H559</f>
        <v>0</v>
      </c>
      <c r="I558" s="111">
        <f>SUM(G558:H558)</f>
        <v>598060</v>
      </c>
      <c r="J558" s="136"/>
    </row>
    <row r="559" spans="1:10" ht="31.5" customHeight="1">
      <c r="A559" s="2" t="s">
        <v>175</v>
      </c>
      <c r="B559" s="14" t="s">
        <v>300</v>
      </c>
      <c r="C559" s="14" t="s">
        <v>88</v>
      </c>
      <c r="D559" s="14" t="s">
        <v>41</v>
      </c>
      <c r="E559" s="14" t="s">
        <v>441</v>
      </c>
      <c r="F559" s="17" t="s">
        <v>176</v>
      </c>
      <c r="G559" s="111">
        <v>598060</v>
      </c>
      <c r="H559" s="111"/>
      <c r="I559" s="111">
        <f>SUM(G559:H559)</f>
        <v>598060</v>
      </c>
      <c r="J559" s="136"/>
    </row>
    <row r="560" spans="1:10" ht="40.5" customHeight="1">
      <c r="A560" s="8" t="s">
        <v>477</v>
      </c>
      <c r="B560" s="14" t="s">
        <v>300</v>
      </c>
      <c r="C560" s="14" t="s">
        <v>88</v>
      </c>
      <c r="D560" s="14" t="s">
        <v>41</v>
      </c>
      <c r="E560" s="14" t="s">
        <v>476</v>
      </c>
      <c r="F560" s="17"/>
      <c r="G560" s="111">
        <f>G561</f>
        <v>175767.34</v>
      </c>
      <c r="H560" s="111">
        <f>H561</f>
        <v>0</v>
      </c>
      <c r="I560" s="111">
        <f>I561</f>
        <v>175767.34</v>
      </c>
      <c r="J560" s="136"/>
    </row>
    <row r="561" spans="1:10" ht="13.5" customHeight="1">
      <c r="A561" s="8" t="s">
        <v>10</v>
      </c>
      <c r="B561" s="14" t="s">
        <v>300</v>
      </c>
      <c r="C561" s="14" t="s">
        <v>88</v>
      </c>
      <c r="D561" s="14" t="s">
        <v>41</v>
      </c>
      <c r="E561" s="14" t="s">
        <v>476</v>
      </c>
      <c r="F561" s="17" t="s">
        <v>56</v>
      </c>
      <c r="G561" s="111">
        <v>175767.34</v>
      </c>
      <c r="H561" s="111"/>
      <c r="I561" s="111">
        <f>G561+H561</f>
        <v>175767.34</v>
      </c>
      <c r="J561" s="136"/>
    </row>
    <row r="562" spans="1:10" ht="12.75">
      <c r="A562" s="2" t="s">
        <v>147</v>
      </c>
      <c r="B562" s="1" t="s">
        <v>300</v>
      </c>
      <c r="C562" s="1" t="s">
        <v>88</v>
      </c>
      <c r="D562" s="1" t="s">
        <v>41</v>
      </c>
      <c r="E562" s="1" t="s">
        <v>148</v>
      </c>
      <c r="F562" s="17"/>
      <c r="G562" s="111">
        <f>SUM(G563+G565)</f>
        <v>324800</v>
      </c>
      <c r="H562" s="111">
        <f>SUM(H563+H565)</f>
        <v>-2956.99</v>
      </c>
      <c r="I562" s="107">
        <f t="shared" si="55"/>
        <v>321843.01</v>
      </c>
      <c r="J562" s="137"/>
    </row>
    <row r="563" spans="1:10" ht="38.25" customHeight="1">
      <c r="A563" s="64" t="s">
        <v>355</v>
      </c>
      <c r="B563" s="1" t="s">
        <v>300</v>
      </c>
      <c r="C563" s="1" t="s">
        <v>88</v>
      </c>
      <c r="D563" s="1" t="s">
        <v>41</v>
      </c>
      <c r="E563" s="1" t="s">
        <v>213</v>
      </c>
      <c r="F563" s="17"/>
      <c r="G563" s="111">
        <f>G564</f>
        <v>244800</v>
      </c>
      <c r="H563" s="111">
        <f>H564</f>
        <v>0</v>
      </c>
      <c r="I563" s="107">
        <f t="shared" si="55"/>
        <v>244800</v>
      </c>
      <c r="J563" s="137"/>
    </row>
    <row r="564" spans="1:10" ht="30.75" customHeight="1">
      <c r="A564" s="65" t="s">
        <v>175</v>
      </c>
      <c r="B564" s="1" t="s">
        <v>300</v>
      </c>
      <c r="C564" s="1" t="s">
        <v>88</v>
      </c>
      <c r="D564" s="1" t="s">
        <v>41</v>
      </c>
      <c r="E564" s="1" t="s">
        <v>213</v>
      </c>
      <c r="F564" s="104" t="s">
        <v>176</v>
      </c>
      <c r="G564" s="111">
        <v>244800</v>
      </c>
      <c r="H564" s="111"/>
      <c r="I564" s="107">
        <f t="shared" si="55"/>
        <v>244800</v>
      </c>
      <c r="J564" s="137"/>
    </row>
    <row r="565" spans="1:10" ht="38.25">
      <c r="A565" s="8" t="s">
        <v>356</v>
      </c>
      <c r="B565" s="14" t="s">
        <v>300</v>
      </c>
      <c r="C565" s="14" t="s">
        <v>88</v>
      </c>
      <c r="D565" s="14" t="s">
        <v>41</v>
      </c>
      <c r="E565" s="14" t="s">
        <v>214</v>
      </c>
      <c r="F565" s="17"/>
      <c r="G565" s="111">
        <f>G566</f>
        <v>80000</v>
      </c>
      <c r="H565" s="111">
        <f>H566</f>
        <v>-2956.99</v>
      </c>
      <c r="I565" s="107">
        <f t="shared" si="55"/>
        <v>77043.01</v>
      </c>
      <c r="J565" s="137"/>
    </row>
    <row r="566" spans="1:10" ht="12.75">
      <c r="A566" s="13" t="s">
        <v>83</v>
      </c>
      <c r="B566" s="14" t="s">
        <v>300</v>
      </c>
      <c r="C566" s="14" t="s">
        <v>88</v>
      </c>
      <c r="D566" s="14" t="s">
        <v>41</v>
      </c>
      <c r="E566" s="14" t="s">
        <v>214</v>
      </c>
      <c r="F566" s="17" t="s">
        <v>56</v>
      </c>
      <c r="G566" s="111">
        <v>80000</v>
      </c>
      <c r="H566" s="111">
        <f>-600-145.99-2211</f>
        <v>-2956.99</v>
      </c>
      <c r="I566" s="107">
        <f t="shared" si="55"/>
        <v>77043.01</v>
      </c>
      <c r="J566" s="137"/>
    </row>
    <row r="567" spans="1:10" ht="12.75">
      <c r="A567" s="2"/>
      <c r="B567" s="1"/>
      <c r="C567" s="1"/>
      <c r="D567" s="1"/>
      <c r="E567" s="1"/>
      <c r="F567" s="17"/>
      <c r="G567" s="111"/>
      <c r="H567" s="111"/>
      <c r="I567" s="111"/>
      <c r="J567" s="136"/>
    </row>
    <row r="568" spans="1:10" ht="12.75">
      <c r="A568" s="23" t="s">
        <v>64</v>
      </c>
      <c r="B568" s="18" t="s">
        <v>300</v>
      </c>
      <c r="C568" s="18" t="s">
        <v>88</v>
      </c>
      <c r="D568" s="18" t="s">
        <v>54</v>
      </c>
      <c r="E568" s="1"/>
      <c r="F568" s="17"/>
      <c r="G568" s="109">
        <f>+G569+G576</f>
        <v>3485000</v>
      </c>
      <c r="H568" s="109">
        <f>+H569+H576</f>
        <v>0</v>
      </c>
      <c r="I568" s="109">
        <f>SUM(G568:H568)</f>
        <v>3485000</v>
      </c>
      <c r="J568" s="134"/>
    </row>
    <row r="569" spans="1:10" ht="12.75">
      <c r="A569" s="7" t="s">
        <v>29</v>
      </c>
      <c r="B569" s="87" t="s">
        <v>300</v>
      </c>
      <c r="C569" s="87" t="s">
        <v>88</v>
      </c>
      <c r="D569" s="87" t="s">
        <v>54</v>
      </c>
      <c r="E569" s="1" t="s">
        <v>30</v>
      </c>
      <c r="F569" s="17"/>
      <c r="G569" s="110">
        <f>G570+G573</f>
        <v>3455000</v>
      </c>
      <c r="H569" s="110">
        <f>H570+H573</f>
        <v>0</v>
      </c>
      <c r="I569" s="107">
        <f aca="true" t="shared" si="56" ref="I569:I578">SUM(G569:H569)</f>
        <v>3455000</v>
      </c>
      <c r="J569" s="137"/>
    </row>
    <row r="570" spans="1:10" ht="38.25">
      <c r="A570" s="2" t="s">
        <v>343</v>
      </c>
      <c r="B570" s="3" t="s">
        <v>300</v>
      </c>
      <c r="C570" s="3" t="s">
        <v>88</v>
      </c>
      <c r="D570" s="3" t="s">
        <v>54</v>
      </c>
      <c r="E570" s="3" t="s">
        <v>344</v>
      </c>
      <c r="F570" s="17"/>
      <c r="G570" s="110">
        <f>G571</f>
        <v>349600</v>
      </c>
      <c r="H570" s="110">
        <f>H571</f>
        <v>0</v>
      </c>
      <c r="I570" s="107">
        <f t="shared" si="56"/>
        <v>349600</v>
      </c>
      <c r="J570" s="137"/>
    </row>
    <row r="571" spans="1:10" ht="51">
      <c r="A571" s="2" t="s">
        <v>345</v>
      </c>
      <c r="B571" s="3" t="s">
        <v>300</v>
      </c>
      <c r="C571" s="3" t="s">
        <v>88</v>
      </c>
      <c r="D571" s="3" t="s">
        <v>54</v>
      </c>
      <c r="E571" s="3" t="s">
        <v>346</v>
      </c>
      <c r="F571" s="17"/>
      <c r="G571" s="110">
        <f>G572</f>
        <v>349600</v>
      </c>
      <c r="H571" s="110">
        <f>H572</f>
        <v>0</v>
      </c>
      <c r="I571" s="107">
        <f t="shared" si="56"/>
        <v>349600</v>
      </c>
      <c r="J571" s="137"/>
    </row>
    <row r="572" spans="1:10" ht="12.75">
      <c r="A572" s="8" t="s">
        <v>10</v>
      </c>
      <c r="B572" s="3" t="s">
        <v>300</v>
      </c>
      <c r="C572" s="3" t="s">
        <v>88</v>
      </c>
      <c r="D572" s="3" t="s">
        <v>54</v>
      </c>
      <c r="E572" s="3" t="s">
        <v>346</v>
      </c>
      <c r="F572" s="17" t="s">
        <v>56</v>
      </c>
      <c r="G572" s="110">
        <v>349600</v>
      </c>
      <c r="H572" s="110"/>
      <c r="I572" s="107">
        <f t="shared" si="56"/>
        <v>349600</v>
      </c>
      <c r="J572" s="137"/>
    </row>
    <row r="573" spans="1:10" ht="51">
      <c r="A573" s="7" t="s">
        <v>199</v>
      </c>
      <c r="B573" s="87" t="s">
        <v>300</v>
      </c>
      <c r="C573" s="87" t="s">
        <v>88</v>
      </c>
      <c r="D573" s="87" t="s">
        <v>54</v>
      </c>
      <c r="E573" s="1" t="s">
        <v>198</v>
      </c>
      <c r="F573" s="17"/>
      <c r="G573" s="110">
        <f>+G574</f>
        <v>3105400</v>
      </c>
      <c r="H573" s="110">
        <f>+H574</f>
        <v>0</v>
      </c>
      <c r="I573" s="107">
        <f t="shared" si="56"/>
        <v>3105400</v>
      </c>
      <c r="J573" s="137"/>
    </row>
    <row r="574" spans="1:10" ht="63.75">
      <c r="A574" s="7" t="s">
        <v>200</v>
      </c>
      <c r="B574" s="87" t="s">
        <v>300</v>
      </c>
      <c r="C574" s="87" t="s">
        <v>88</v>
      </c>
      <c r="D574" s="87" t="s">
        <v>54</v>
      </c>
      <c r="E574" s="1" t="s">
        <v>169</v>
      </c>
      <c r="F574" s="17"/>
      <c r="G574" s="110">
        <f>SUM(G575:G575)</f>
        <v>3105400</v>
      </c>
      <c r="H574" s="110">
        <f>SUM(H575:H575)</f>
        <v>0</v>
      </c>
      <c r="I574" s="107">
        <f t="shared" si="56"/>
        <v>3105400</v>
      </c>
      <c r="J574" s="137"/>
    </row>
    <row r="575" spans="1:13" ht="12.75">
      <c r="A575" s="8" t="s">
        <v>10</v>
      </c>
      <c r="B575" s="87" t="s">
        <v>300</v>
      </c>
      <c r="C575" s="87" t="s">
        <v>88</v>
      </c>
      <c r="D575" s="87" t="s">
        <v>54</v>
      </c>
      <c r="E575" s="1" t="s">
        <v>169</v>
      </c>
      <c r="F575" s="17" t="s">
        <v>56</v>
      </c>
      <c r="G575" s="110">
        <v>3105400</v>
      </c>
      <c r="H575" s="110"/>
      <c r="I575" s="107">
        <f t="shared" si="56"/>
        <v>3105400</v>
      </c>
      <c r="J575" s="137"/>
      <c r="K575" s="122"/>
      <c r="M575" s="122"/>
    </row>
    <row r="576" spans="1:10" ht="12.75">
      <c r="A576" s="2" t="s">
        <v>147</v>
      </c>
      <c r="B576" s="1" t="s">
        <v>300</v>
      </c>
      <c r="C576" s="1" t="s">
        <v>88</v>
      </c>
      <c r="D576" s="1" t="s">
        <v>54</v>
      </c>
      <c r="E576" s="1" t="s">
        <v>148</v>
      </c>
      <c r="F576" s="40"/>
      <c r="G576" s="107">
        <f>SUM(G577)</f>
        <v>30000</v>
      </c>
      <c r="H576" s="107">
        <f>SUM(H577)</f>
        <v>0</v>
      </c>
      <c r="I576" s="107">
        <f t="shared" si="56"/>
        <v>30000</v>
      </c>
      <c r="J576" s="137"/>
    </row>
    <row r="577" spans="1:10" ht="54" customHeight="1">
      <c r="A577" s="2" t="s">
        <v>224</v>
      </c>
      <c r="B577" s="1" t="s">
        <v>300</v>
      </c>
      <c r="C577" s="1" t="s">
        <v>88</v>
      </c>
      <c r="D577" s="1" t="s">
        <v>54</v>
      </c>
      <c r="E577" s="1" t="s">
        <v>225</v>
      </c>
      <c r="F577" s="40"/>
      <c r="G577" s="107">
        <f>SUM(G578)</f>
        <v>30000</v>
      </c>
      <c r="H577" s="107">
        <f>SUM(H578)</f>
        <v>0</v>
      </c>
      <c r="I577" s="107">
        <f t="shared" si="56"/>
        <v>30000</v>
      </c>
      <c r="J577" s="137"/>
    </row>
    <row r="578" spans="1:10" ht="12.75" customHeight="1">
      <c r="A578" s="15" t="s">
        <v>134</v>
      </c>
      <c r="B578" s="14" t="s">
        <v>300</v>
      </c>
      <c r="C578" s="14" t="s">
        <v>88</v>
      </c>
      <c r="D578" s="14" t="s">
        <v>54</v>
      </c>
      <c r="E578" s="1" t="s">
        <v>225</v>
      </c>
      <c r="F578" s="21" t="s">
        <v>133</v>
      </c>
      <c r="G578" s="107">
        <v>30000</v>
      </c>
      <c r="H578" s="107"/>
      <c r="I578" s="107">
        <f t="shared" si="56"/>
        <v>30000</v>
      </c>
      <c r="J578" s="137"/>
    </row>
    <row r="579" spans="1:10" ht="12.75" customHeight="1">
      <c r="A579" s="15"/>
      <c r="B579" s="14"/>
      <c r="C579" s="14"/>
      <c r="D579" s="14"/>
      <c r="E579" s="1"/>
      <c r="F579" s="21"/>
      <c r="G579" s="107"/>
      <c r="H579" s="107"/>
      <c r="I579" s="107"/>
      <c r="J579" s="137"/>
    </row>
    <row r="580" spans="1:10" ht="12.75">
      <c r="A580" s="23" t="s">
        <v>256</v>
      </c>
      <c r="B580" s="19" t="s">
        <v>300</v>
      </c>
      <c r="C580" s="19" t="s">
        <v>88</v>
      </c>
      <c r="D580" s="19" t="s">
        <v>17</v>
      </c>
      <c r="E580" s="19"/>
      <c r="F580" s="37"/>
      <c r="G580" s="109">
        <f aca="true" t="shared" si="57" ref="G580:H583">+G581</f>
        <v>925700</v>
      </c>
      <c r="H580" s="109">
        <f t="shared" si="57"/>
        <v>0</v>
      </c>
      <c r="I580" s="109">
        <f>SUM(G580:H580)</f>
        <v>925700</v>
      </c>
      <c r="J580" s="134"/>
    </row>
    <row r="581" spans="1:10" ht="12.75" customHeight="1">
      <c r="A581" s="2" t="s">
        <v>128</v>
      </c>
      <c r="B581" s="14" t="s">
        <v>300</v>
      </c>
      <c r="C581" s="14" t="s">
        <v>88</v>
      </c>
      <c r="D581" s="14" t="s">
        <v>17</v>
      </c>
      <c r="E581" s="1" t="s">
        <v>42</v>
      </c>
      <c r="F581" s="21"/>
      <c r="G581" s="107">
        <f t="shared" si="57"/>
        <v>925700</v>
      </c>
      <c r="H581" s="107">
        <f t="shared" si="57"/>
        <v>0</v>
      </c>
      <c r="I581" s="107">
        <f>SUM(G581:H581)</f>
        <v>925700</v>
      </c>
      <c r="J581" s="137"/>
    </row>
    <row r="582" spans="1:10" ht="51">
      <c r="A582" s="2" t="s">
        <v>292</v>
      </c>
      <c r="B582" s="14" t="s">
        <v>300</v>
      </c>
      <c r="C582" s="14" t="s">
        <v>88</v>
      </c>
      <c r="D582" s="14" t="s">
        <v>17</v>
      </c>
      <c r="E582" s="1" t="s">
        <v>45</v>
      </c>
      <c r="F582" s="21"/>
      <c r="G582" s="107">
        <f t="shared" si="57"/>
        <v>925700</v>
      </c>
      <c r="H582" s="107">
        <f t="shared" si="57"/>
        <v>0</v>
      </c>
      <c r="I582" s="107">
        <f>SUM(G582:H582)</f>
        <v>925700</v>
      </c>
      <c r="J582" s="137"/>
    </row>
    <row r="583" spans="1:10" ht="38.25">
      <c r="A583" s="2" t="s">
        <v>241</v>
      </c>
      <c r="B583" s="14" t="s">
        <v>300</v>
      </c>
      <c r="C583" s="14" t="s">
        <v>88</v>
      </c>
      <c r="D583" s="14" t="s">
        <v>17</v>
      </c>
      <c r="E583" s="1" t="s">
        <v>51</v>
      </c>
      <c r="F583" s="21"/>
      <c r="G583" s="107">
        <f t="shared" si="57"/>
        <v>925700</v>
      </c>
      <c r="H583" s="107">
        <f t="shared" si="57"/>
        <v>0</v>
      </c>
      <c r="I583" s="107">
        <f>SUM(G583:H583)</f>
        <v>925700</v>
      </c>
      <c r="J583" s="137"/>
    </row>
    <row r="584" spans="1:10" ht="12.75" customHeight="1">
      <c r="A584" s="15" t="s">
        <v>134</v>
      </c>
      <c r="B584" s="14" t="s">
        <v>300</v>
      </c>
      <c r="C584" s="14" t="s">
        <v>88</v>
      </c>
      <c r="D584" s="14" t="s">
        <v>17</v>
      </c>
      <c r="E584" s="1" t="s">
        <v>51</v>
      </c>
      <c r="F584" s="21" t="s">
        <v>133</v>
      </c>
      <c r="G584" s="107">
        <v>925700</v>
      </c>
      <c r="H584" s="107"/>
      <c r="I584" s="107">
        <f>SUM(G584:H584)</f>
        <v>925700</v>
      </c>
      <c r="J584" s="137"/>
    </row>
    <row r="585" spans="1:10" ht="12.75">
      <c r="A585" s="15"/>
      <c r="B585" s="14"/>
      <c r="C585" s="14"/>
      <c r="D585" s="14"/>
      <c r="E585" s="1"/>
      <c r="F585" s="21"/>
      <c r="G585" s="107"/>
      <c r="H585" s="107"/>
      <c r="I585" s="107"/>
      <c r="J585" s="137"/>
    </row>
    <row r="586" spans="1:10" ht="31.5">
      <c r="A586" s="34" t="s">
        <v>69</v>
      </c>
      <c r="B586" s="41" t="s">
        <v>300</v>
      </c>
      <c r="C586" s="41" t="s">
        <v>188</v>
      </c>
      <c r="D586" s="41"/>
      <c r="E586" s="41"/>
      <c r="F586" s="44"/>
      <c r="G586" s="108">
        <f aca="true" t="shared" si="58" ref="G586:H589">+G587</f>
        <v>700000</v>
      </c>
      <c r="H586" s="108">
        <f t="shared" si="58"/>
        <v>0</v>
      </c>
      <c r="I586" s="108">
        <f>SUM(G586:H586)</f>
        <v>700000</v>
      </c>
      <c r="J586" s="133"/>
    </row>
    <row r="587" spans="1:10" ht="25.5">
      <c r="A587" s="23" t="s">
        <v>189</v>
      </c>
      <c r="B587" s="19" t="s">
        <v>300</v>
      </c>
      <c r="C587" s="19" t="s">
        <v>188</v>
      </c>
      <c r="D587" s="19" t="s">
        <v>59</v>
      </c>
      <c r="E587" s="19"/>
      <c r="F587" s="37"/>
      <c r="G587" s="109">
        <f t="shared" si="58"/>
        <v>700000</v>
      </c>
      <c r="H587" s="109">
        <f t="shared" si="58"/>
        <v>0</v>
      </c>
      <c r="I587" s="109">
        <f>SUM(G587:H587)</f>
        <v>700000</v>
      </c>
      <c r="J587" s="134"/>
    </row>
    <row r="588" spans="1:10" ht="12.75">
      <c r="A588" s="46" t="s">
        <v>70</v>
      </c>
      <c r="B588" s="47" t="s">
        <v>300</v>
      </c>
      <c r="C588" s="47" t="s">
        <v>188</v>
      </c>
      <c r="D588" s="47" t="s">
        <v>59</v>
      </c>
      <c r="E588" s="47" t="s">
        <v>71</v>
      </c>
      <c r="F588" s="48"/>
      <c r="G588" s="111">
        <f t="shared" si="58"/>
        <v>700000</v>
      </c>
      <c r="H588" s="111">
        <f t="shared" si="58"/>
        <v>0</v>
      </c>
      <c r="I588" s="107">
        <f>SUM(G588:H588)</f>
        <v>700000</v>
      </c>
      <c r="J588" s="137"/>
    </row>
    <row r="589" spans="1:10" ht="12.75">
      <c r="A589" s="2" t="s">
        <v>2</v>
      </c>
      <c r="B589" s="47" t="s">
        <v>300</v>
      </c>
      <c r="C589" s="47" t="s">
        <v>188</v>
      </c>
      <c r="D589" s="47" t="s">
        <v>59</v>
      </c>
      <c r="E589" s="47" t="s">
        <v>3</v>
      </c>
      <c r="F589" s="48"/>
      <c r="G589" s="111">
        <f t="shared" si="58"/>
        <v>700000</v>
      </c>
      <c r="H589" s="111">
        <f t="shared" si="58"/>
        <v>0</v>
      </c>
      <c r="I589" s="107">
        <f>SUM(G589:H589)</f>
        <v>700000</v>
      </c>
      <c r="J589" s="137"/>
    </row>
    <row r="590" spans="1:10" ht="12.75">
      <c r="A590" s="2" t="s">
        <v>66</v>
      </c>
      <c r="B590" s="47" t="s">
        <v>300</v>
      </c>
      <c r="C590" s="47" t="s">
        <v>188</v>
      </c>
      <c r="D590" s="47" t="s">
        <v>59</v>
      </c>
      <c r="E590" s="47" t="s">
        <v>3</v>
      </c>
      <c r="F590" s="48" t="s">
        <v>36</v>
      </c>
      <c r="G590" s="111">
        <v>700000</v>
      </c>
      <c r="H590" s="111"/>
      <c r="I590" s="107">
        <f>SUM(G590:H590)</f>
        <v>700000</v>
      </c>
      <c r="J590" s="137"/>
    </row>
    <row r="591" spans="1:10" ht="12.75">
      <c r="A591" s="15"/>
      <c r="B591" s="14"/>
      <c r="C591" s="14"/>
      <c r="D591" s="14"/>
      <c r="E591" s="1"/>
      <c r="F591" s="21"/>
      <c r="G591" s="107"/>
      <c r="H591" s="107"/>
      <c r="I591" s="107"/>
      <c r="J591" s="137"/>
    </row>
    <row r="592" spans="1:10" ht="47.25">
      <c r="A592" s="34" t="s">
        <v>192</v>
      </c>
      <c r="B592" s="41" t="s">
        <v>300</v>
      </c>
      <c r="C592" s="41" t="s">
        <v>86</v>
      </c>
      <c r="D592" s="41"/>
      <c r="E592" s="41"/>
      <c r="F592" s="44"/>
      <c r="G592" s="108">
        <f>SUM(G593+G603+G609)</f>
        <v>43318993</v>
      </c>
      <c r="H592" s="108">
        <f>SUM(H593+H603+H609)</f>
        <v>124024.83</v>
      </c>
      <c r="I592" s="108">
        <f>SUM(G592:H592)</f>
        <v>43443017.83</v>
      </c>
      <c r="J592" s="133"/>
    </row>
    <row r="593" spans="1:10" ht="38.25">
      <c r="A593" s="23" t="s">
        <v>193</v>
      </c>
      <c r="B593" s="19" t="s">
        <v>300</v>
      </c>
      <c r="C593" s="19" t="s">
        <v>86</v>
      </c>
      <c r="D593" s="19" t="s">
        <v>59</v>
      </c>
      <c r="E593" s="19"/>
      <c r="F593" s="37"/>
      <c r="G593" s="109">
        <f>+G594+G598</f>
        <v>5934200</v>
      </c>
      <c r="H593" s="109">
        <f>+H594+H598</f>
        <v>0</v>
      </c>
      <c r="I593" s="109">
        <f>+I594+I598</f>
        <v>5934200</v>
      </c>
      <c r="J593" s="134"/>
    </row>
    <row r="594" spans="1:10" ht="12.75">
      <c r="A594" s="7" t="s">
        <v>156</v>
      </c>
      <c r="B594" s="1" t="s">
        <v>300</v>
      </c>
      <c r="C594" s="1" t="s">
        <v>86</v>
      </c>
      <c r="D594" s="1" t="s">
        <v>59</v>
      </c>
      <c r="E594" s="1" t="s">
        <v>155</v>
      </c>
      <c r="F594" s="17"/>
      <c r="G594" s="111">
        <f>SUM(G595)</f>
        <v>3414800</v>
      </c>
      <c r="H594" s="111">
        <f>SUM(H595)</f>
        <v>0</v>
      </c>
      <c r="I594" s="107">
        <f aca="true" t="shared" si="59" ref="I594:I601">SUM(G594:H594)</f>
        <v>3414800</v>
      </c>
      <c r="J594" s="137"/>
    </row>
    <row r="595" spans="1:10" ht="12.75">
      <c r="A595" s="7" t="s">
        <v>156</v>
      </c>
      <c r="B595" s="1" t="s">
        <v>300</v>
      </c>
      <c r="C595" s="1" t="s">
        <v>86</v>
      </c>
      <c r="D595" s="1" t="s">
        <v>59</v>
      </c>
      <c r="E595" s="1" t="s">
        <v>157</v>
      </c>
      <c r="F595" s="17"/>
      <c r="G595" s="111">
        <f>G596</f>
        <v>3414800</v>
      </c>
      <c r="H595" s="111">
        <f>H596</f>
        <v>0</v>
      </c>
      <c r="I595" s="107">
        <f t="shared" si="59"/>
        <v>3414800</v>
      </c>
      <c r="J595" s="137"/>
    </row>
    <row r="596" spans="1:10" ht="25.5">
      <c r="A596" s="2" t="s">
        <v>160</v>
      </c>
      <c r="B596" s="1" t="s">
        <v>300</v>
      </c>
      <c r="C596" s="1" t="s">
        <v>86</v>
      </c>
      <c r="D596" s="1" t="s">
        <v>59</v>
      </c>
      <c r="E596" s="1" t="s">
        <v>161</v>
      </c>
      <c r="F596" s="17"/>
      <c r="G596" s="111">
        <f>G597</f>
        <v>3414800</v>
      </c>
      <c r="H596" s="111">
        <f>H597</f>
        <v>0</v>
      </c>
      <c r="I596" s="107">
        <f t="shared" si="59"/>
        <v>3414800</v>
      </c>
      <c r="J596" s="137"/>
    </row>
    <row r="597" spans="1:10" ht="12.75">
      <c r="A597" s="2" t="s">
        <v>158</v>
      </c>
      <c r="B597" s="1" t="s">
        <v>300</v>
      </c>
      <c r="C597" s="1" t="s">
        <v>86</v>
      </c>
      <c r="D597" s="1" t="s">
        <v>59</v>
      </c>
      <c r="E597" s="1" t="s">
        <v>161</v>
      </c>
      <c r="F597" s="17" t="s">
        <v>159</v>
      </c>
      <c r="G597" s="111">
        <v>3414800</v>
      </c>
      <c r="H597" s="111"/>
      <c r="I597" s="107">
        <f t="shared" si="59"/>
        <v>3414800</v>
      </c>
      <c r="J597" s="137"/>
    </row>
    <row r="598" spans="1:10" ht="12.75">
      <c r="A598" s="2" t="s">
        <v>140</v>
      </c>
      <c r="B598" s="1" t="s">
        <v>300</v>
      </c>
      <c r="C598" s="1" t="s">
        <v>86</v>
      </c>
      <c r="D598" s="1" t="s">
        <v>59</v>
      </c>
      <c r="E598" s="1" t="s">
        <v>141</v>
      </c>
      <c r="F598" s="17"/>
      <c r="G598" s="111">
        <f aca="true" t="shared" si="60" ref="G598:H600">+G599</f>
        <v>2519400</v>
      </c>
      <c r="H598" s="111">
        <f t="shared" si="60"/>
        <v>0</v>
      </c>
      <c r="I598" s="107">
        <f t="shared" si="59"/>
        <v>2519400</v>
      </c>
      <c r="J598" s="137"/>
    </row>
    <row r="599" spans="1:10" ht="51">
      <c r="A599" s="2" t="s">
        <v>434</v>
      </c>
      <c r="B599" s="1" t="s">
        <v>300</v>
      </c>
      <c r="C599" s="1" t="s">
        <v>86</v>
      </c>
      <c r="D599" s="1" t="s">
        <v>59</v>
      </c>
      <c r="E599" s="1" t="s">
        <v>194</v>
      </c>
      <c r="F599" s="17"/>
      <c r="G599" s="111">
        <f t="shared" si="60"/>
        <v>2519400</v>
      </c>
      <c r="H599" s="111">
        <f t="shared" si="60"/>
        <v>0</v>
      </c>
      <c r="I599" s="107">
        <f t="shared" si="59"/>
        <v>2519400</v>
      </c>
      <c r="J599" s="137"/>
    </row>
    <row r="600" spans="1:10" ht="25.5">
      <c r="A600" s="2" t="s">
        <v>196</v>
      </c>
      <c r="B600" s="1" t="s">
        <v>300</v>
      </c>
      <c r="C600" s="1" t="s">
        <v>86</v>
      </c>
      <c r="D600" s="1" t="s">
        <v>59</v>
      </c>
      <c r="E600" s="1" t="s">
        <v>195</v>
      </c>
      <c r="F600" s="17"/>
      <c r="G600" s="111">
        <f t="shared" si="60"/>
        <v>2519400</v>
      </c>
      <c r="H600" s="111">
        <f t="shared" si="60"/>
        <v>0</v>
      </c>
      <c r="I600" s="107">
        <f t="shared" si="59"/>
        <v>2519400</v>
      </c>
      <c r="J600" s="137"/>
    </row>
    <row r="601" spans="1:10" ht="12.75">
      <c r="A601" s="2" t="s">
        <v>158</v>
      </c>
      <c r="B601" s="1" t="s">
        <v>300</v>
      </c>
      <c r="C601" s="1" t="s">
        <v>86</v>
      </c>
      <c r="D601" s="1" t="s">
        <v>59</v>
      </c>
      <c r="E601" s="1" t="s">
        <v>195</v>
      </c>
      <c r="F601" s="17" t="s">
        <v>159</v>
      </c>
      <c r="G601" s="111">
        <v>2519400</v>
      </c>
      <c r="H601" s="111"/>
      <c r="I601" s="107">
        <f t="shared" si="59"/>
        <v>2519400</v>
      </c>
      <c r="J601" s="137"/>
    </row>
    <row r="602" spans="1:10" ht="12.75">
      <c r="A602" s="2"/>
      <c r="B602" s="1"/>
      <c r="C602" s="1"/>
      <c r="D602" s="1"/>
      <c r="E602" s="1"/>
      <c r="F602" s="17"/>
      <c r="G602" s="111"/>
      <c r="H602" s="111"/>
      <c r="I602" s="111"/>
      <c r="J602" s="136"/>
    </row>
    <row r="603" spans="1:10" ht="12.75">
      <c r="A603" s="23" t="s">
        <v>433</v>
      </c>
      <c r="B603" s="19" t="s">
        <v>300</v>
      </c>
      <c r="C603" s="19" t="s">
        <v>86</v>
      </c>
      <c r="D603" s="19" t="s">
        <v>55</v>
      </c>
      <c r="E603" s="19"/>
      <c r="F603" s="37"/>
      <c r="G603" s="109">
        <f>G604</f>
        <v>1516600</v>
      </c>
      <c r="H603" s="109">
        <f>H604</f>
        <v>0</v>
      </c>
      <c r="I603" s="109">
        <f>SUM(G603:H603)</f>
        <v>1516600</v>
      </c>
      <c r="J603" s="134"/>
    </row>
    <row r="604" spans="1:10" ht="12.75">
      <c r="A604" s="2" t="s">
        <v>140</v>
      </c>
      <c r="B604" s="1" t="s">
        <v>300</v>
      </c>
      <c r="C604" s="1" t="s">
        <v>86</v>
      </c>
      <c r="D604" s="1" t="s">
        <v>55</v>
      </c>
      <c r="E604" s="1" t="s">
        <v>141</v>
      </c>
      <c r="F604" s="17"/>
      <c r="G604" s="111">
        <f>G605</f>
        <v>1516600</v>
      </c>
      <c r="H604" s="111">
        <f>+H605</f>
        <v>0</v>
      </c>
      <c r="I604" s="107">
        <f>SUM(G604:H604)</f>
        <v>1516600</v>
      </c>
      <c r="J604" s="137"/>
    </row>
    <row r="605" spans="1:10" ht="51">
      <c r="A605" s="2" t="s">
        <v>434</v>
      </c>
      <c r="B605" s="1" t="s">
        <v>300</v>
      </c>
      <c r="C605" s="1" t="s">
        <v>86</v>
      </c>
      <c r="D605" s="1" t="s">
        <v>55</v>
      </c>
      <c r="E605" s="1" t="s">
        <v>194</v>
      </c>
      <c r="F605" s="17"/>
      <c r="G605" s="111">
        <f>G606</f>
        <v>1516600</v>
      </c>
      <c r="H605" s="111">
        <f>+H606</f>
        <v>0</v>
      </c>
      <c r="I605" s="107">
        <f>SUM(G605:H605)</f>
        <v>1516600</v>
      </c>
      <c r="J605" s="137"/>
    </row>
    <row r="606" spans="1:10" ht="25.5">
      <c r="A606" s="2" t="s">
        <v>436</v>
      </c>
      <c r="B606" s="1" t="s">
        <v>300</v>
      </c>
      <c r="C606" s="1" t="s">
        <v>86</v>
      </c>
      <c r="D606" s="1" t="s">
        <v>55</v>
      </c>
      <c r="E606" s="1" t="s">
        <v>435</v>
      </c>
      <c r="F606" s="17"/>
      <c r="G606" s="111">
        <f>G607</f>
        <v>1516600</v>
      </c>
      <c r="H606" s="111">
        <f>+H607</f>
        <v>0</v>
      </c>
      <c r="I606" s="107">
        <f>SUM(G606:H606)</f>
        <v>1516600</v>
      </c>
      <c r="J606" s="137"/>
    </row>
    <row r="607" spans="1:10" ht="12.75">
      <c r="A607" s="2" t="s">
        <v>438</v>
      </c>
      <c r="B607" s="1" t="s">
        <v>300</v>
      </c>
      <c r="C607" s="1" t="s">
        <v>86</v>
      </c>
      <c r="D607" s="1" t="s">
        <v>55</v>
      </c>
      <c r="E607" s="1" t="s">
        <v>435</v>
      </c>
      <c r="F607" s="17" t="s">
        <v>437</v>
      </c>
      <c r="G607" s="111">
        <v>1516600</v>
      </c>
      <c r="H607" s="111"/>
      <c r="I607" s="107">
        <f>SUM(G607:H607)</f>
        <v>1516600</v>
      </c>
      <c r="J607" s="137"/>
    </row>
    <row r="608" spans="1:10" ht="12.75">
      <c r="A608" s="2"/>
      <c r="B608" s="1"/>
      <c r="C608" s="1"/>
      <c r="D608" s="1"/>
      <c r="E608" s="1"/>
      <c r="F608" s="17"/>
      <c r="G608" s="111"/>
      <c r="H608" s="111"/>
      <c r="I608" s="107"/>
      <c r="J608" s="137"/>
    </row>
    <row r="609" spans="1:10" ht="12.75" customHeight="1">
      <c r="A609" s="23" t="s">
        <v>268</v>
      </c>
      <c r="B609" s="19" t="s">
        <v>300</v>
      </c>
      <c r="C609" s="19" t="s">
        <v>86</v>
      </c>
      <c r="D609" s="19" t="s">
        <v>41</v>
      </c>
      <c r="E609" s="19"/>
      <c r="F609" s="37"/>
      <c r="G609" s="109">
        <f aca="true" t="shared" si="61" ref="G609:H612">+G610</f>
        <v>35868193</v>
      </c>
      <c r="H609" s="109">
        <f t="shared" si="61"/>
        <v>124024.83</v>
      </c>
      <c r="I609" s="109">
        <f aca="true" t="shared" si="62" ref="I609:I615">SUM(G609:H609)</f>
        <v>35992217.83</v>
      </c>
      <c r="J609" s="134"/>
    </row>
    <row r="610" spans="1:10" ht="12.75">
      <c r="A610" s="2" t="s">
        <v>128</v>
      </c>
      <c r="B610" s="1" t="s">
        <v>300</v>
      </c>
      <c r="C610" s="1" t="s">
        <v>86</v>
      </c>
      <c r="D610" s="1" t="s">
        <v>41</v>
      </c>
      <c r="E610" s="1" t="s">
        <v>42</v>
      </c>
      <c r="F610" s="17"/>
      <c r="G610" s="111">
        <f t="shared" si="61"/>
        <v>35868193</v>
      </c>
      <c r="H610" s="111">
        <f t="shared" si="61"/>
        <v>124024.83</v>
      </c>
      <c r="I610" s="107">
        <f t="shared" si="62"/>
        <v>35992217.83</v>
      </c>
      <c r="J610" s="137"/>
    </row>
    <row r="611" spans="1:10" ht="39" customHeight="1">
      <c r="A611" s="2" t="s">
        <v>101</v>
      </c>
      <c r="B611" s="1" t="s">
        <v>300</v>
      </c>
      <c r="C611" s="1" t="s">
        <v>86</v>
      </c>
      <c r="D611" s="1" t="s">
        <v>41</v>
      </c>
      <c r="E611" s="1" t="s">
        <v>43</v>
      </c>
      <c r="F611" s="17"/>
      <c r="G611" s="111">
        <f>G612+G614</f>
        <v>35868193</v>
      </c>
      <c r="H611" s="111">
        <f>H612+H614</f>
        <v>124024.83</v>
      </c>
      <c r="I611" s="107">
        <f t="shared" si="62"/>
        <v>35992217.83</v>
      </c>
      <c r="J611" s="137"/>
    </row>
    <row r="612" spans="1:10" ht="12.75">
      <c r="A612" s="2" t="s">
        <v>288</v>
      </c>
      <c r="B612" s="1" t="s">
        <v>300</v>
      </c>
      <c r="C612" s="1" t="s">
        <v>86</v>
      </c>
      <c r="D612" s="1" t="s">
        <v>41</v>
      </c>
      <c r="E612" s="1" t="s">
        <v>287</v>
      </c>
      <c r="F612" s="17"/>
      <c r="G612" s="111">
        <f t="shared" si="61"/>
        <v>35740920</v>
      </c>
      <c r="H612" s="111">
        <f t="shared" si="61"/>
        <v>0</v>
      </c>
      <c r="I612" s="107">
        <f t="shared" si="62"/>
        <v>35740920</v>
      </c>
      <c r="J612" s="137"/>
    </row>
    <row r="613" spans="1:10" ht="12.75">
      <c r="A613" s="2" t="s">
        <v>129</v>
      </c>
      <c r="B613" s="1" t="s">
        <v>300</v>
      </c>
      <c r="C613" s="1" t="s">
        <v>86</v>
      </c>
      <c r="D613" s="1" t="s">
        <v>41</v>
      </c>
      <c r="E613" s="1" t="s">
        <v>287</v>
      </c>
      <c r="F613" s="17" t="s">
        <v>130</v>
      </c>
      <c r="G613" s="111">
        <v>35740920</v>
      </c>
      <c r="H613" s="111"/>
      <c r="I613" s="107">
        <f t="shared" si="62"/>
        <v>35740920</v>
      </c>
      <c r="J613" s="137"/>
    </row>
    <row r="614" spans="1:10" ht="25.5">
      <c r="A614" s="5" t="s">
        <v>347</v>
      </c>
      <c r="B614" s="3" t="s">
        <v>300</v>
      </c>
      <c r="C614" s="3" t="s">
        <v>86</v>
      </c>
      <c r="D614" s="3" t="s">
        <v>41</v>
      </c>
      <c r="E614" s="3" t="s">
        <v>348</v>
      </c>
      <c r="F614" s="17"/>
      <c r="G614" s="111">
        <f>G615</f>
        <v>127273</v>
      </c>
      <c r="H614" s="111">
        <f>H615</f>
        <v>124024.83</v>
      </c>
      <c r="I614" s="107">
        <f t="shared" si="62"/>
        <v>251297.83000000002</v>
      </c>
      <c r="J614" s="137"/>
    </row>
    <row r="615" spans="1:10" ht="12.75">
      <c r="A615" s="2" t="s">
        <v>129</v>
      </c>
      <c r="B615" s="3" t="s">
        <v>300</v>
      </c>
      <c r="C615" s="3" t="s">
        <v>86</v>
      </c>
      <c r="D615" s="3" t="s">
        <v>41</v>
      </c>
      <c r="E615" s="3" t="s">
        <v>348</v>
      </c>
      <c r="F615" s="17" t="s">
        <v>130</v>
      </c>
      <c r="G615" s="111">
        <v>127273</v>
      </c>
      <c r="H615" s="111">
        <v>124024.83</v>
      </c>
      <c r="I615" s="107">
        <f t="shared" si="62"/>
        <v>251297.83000000002</v>
      </c>
      <c r="J615" s="137"/>
    </row>
    <row r="616" spans="1:10" ht="12.75">
      <c r="A616" s="2"/>
      <c r="B616" s="61"/>
      <c r="C616" s="1"/>
      <c r="D616" s="1"/>
      <c r="E616" s="1"/>
      <c r="F616" s="17"/>
      <c r="G616" s="111"/>
      <c r="H616" s="111"/>
      <c r="I616" s="111"/>
      <c r="J616" s="136"/>
    </row>
    <row r="617" spans="1:13" ht="14.25">
      <c r="A617" s="93" t="s">
        <v>154</v>
      </c>
      <c r="B617" s="94"/>
      <c r="C617" s="95"/>
      <c r="D617" s="95"/>
      <c r="E617" s="95"/>
      <c r="F617" s="95"/>
      <c r="G617" s="112">
        <f>SUM(G246+G121+G18)</f>
        <v>562725176.47</v>
      </c>
      <c r="H617" s="112">
        <f>SUM(H246+H121+H18)</f>
        <v>77571727.08000001</v>
      </c>
      <c r="I617" s="112">
        <f>SUM(G617:H617)</f>
        <v>640296903.5500001</v>
      </c>
      <c r="J617" s="138" t="s">
        <v>447</v>
      </c>
      <c r="K617" s="123">
        <f>SUM(K17:K615)</f>
        <v>300000.00000000006</v>
      </c>
      <c r="L617" s="123">
        <f>SUM(L17:L615)</f>
        <v>0</v>
      </c>
      <c r="M617" s="122"/>
    </row>
    <row r="618" ht="12.75">
      <c r="G618" s="106"/>
    </row>
    <row r="619" spans="1:10" ht="12.75">
      <c r="A619" s="103" t="s">
        <v>263</v>
      </c>
      <c r="G619" s="148">
        <f>SUM(G270+G330+G342+G348+G392+G485+G491+G528+G597+G601+G613+G293+G536+G533+G530+G415+G412+G607+G615+G315+G524+G338+G364+G475)</f>
        <v>59088085</v>
      </c>
      <c r="H619" s="148">
        <f>SUM(H270+H330+H342+H348+H392+H485+H491+H528+H597+H601+H613+H293+H536+H533+H530+H415+H412+H607+H615+H315+H524+H338+H364+H475+H358)</f>
        <v>2391824.83</v>
      </c>
      <c r="I619" s="128">
        <f>SUM(G619:H619)</f>
        <v>61479909.83</v>
      </c>
      <c r="J619" s="126"/>
    </row>
    <row r="620" spans="1:10" ht="12.75">
      <c r="A620" s="103" t="s">
        <v>273</v>
      </c>
      <c r="G620" s="106">
        <f>G311</f>
        <v>100000</v>
      </c>
      <c r="H620" s="106">
        <f>H311</f>
        <v>0</v>
      </c>
      <c r="I620" s="126">
        <f>SUM(G620:H620)</f>
        <v>100000</v>
      </c>
      <c r="J620" s="126"/>
    </row>
    <row r="621" spans="1:10" ht="12.75">
      <c r="A621" s="103" t="s">
        <v>369</v>
      </c>
      <c r="G621" s="127">
        <f>SUM(G21+G46+G51+G80+G102+G111+G146+G180+G201+G210+G339+G361+G394+G435+G451+G476+G505+G515+G534+G562+G576)</f>
        <v>38029694.6</v>
      </c>
      <c r="H621" s="127">
        <f>SUM(H21+H46+H51+H80+H102+H111+H180+H201+H210+H339+H361+H394+H435+H451+H476+H505+H515+H534+H562+H576)</f>
        <v>-103095.99</v>
      </c>
      <c r="I621" s="128">
        <f>SUM(G621:H621)</f>
        <v>37926598.61</v>
      </c>
      <c r="J621" s="128"/>
    </row>
    <row r="622" ht="12.75">
      <c r="A622" s="84"/>
    </row>
    <row r="623" ht="12.75">
      <c r="A623" s="84"/>
    </row>
    <row r="624" ht="12.75">
      <c r="A624" s="84"/>
    </row>
    <row r="625" ht="12.75">
      <c r="A625" s="84"/>
    </row>
    <row r="626" ht="12.75">
      <c r="A626" s="84"/>
    </row>
    <row r="627" ht="12.75">
      <c r="A627" s="84"/>
    </row>
    <row r="628" ht="12.75">
      <c r="A628" s="84"/>
    </row>
    <row r="629" ht="12.75">
      <c r="A629" s="84"/>
    </row>
    <row r="630" ht="12.75">
      <c r="A630" s="84"/>
    </row>
    <row r="631" ht="12.75">
      <c r="A631" s="84"/>
    </row>
    <row r="632" ht="12.75">
      <c r="A632" s="84"/>
    </row>
    <row r="633" ht="12.75">
      <c r="A633" s="84"/>
    </row>
    <row r="634" ht="12.75">
      <c r="A634" s="84"/>
    </row>
    <row r="635" ht="12.75">
      <c r="A635" s="84"/>
    </row>
    <row r="636" ht="12.75">
      <c r="A636" s="84"/>
    </row>
    <row r="637" ht="12.75">
      <c r="A637" s="84"/>
    </row>
    <row r="638" ht="12.75">
      <c r="A638" s="84"/>
    </row>
    <row r="639" ht="12.75">
      <c r="A639" s="84"/>
    </row>
    <row r="640" ht="12.75">
      <c r="A640" s="84"/>
    </row>
    <row r="641" ht="12.75">
      <c r="A641" s="84"/>
    </row>
    <row r="642" ht="12.75">
      <c r="A642" s="84"/>
    </row>
    <row r="643" ht="12.75">
      <c r="A643" s="86"/>
    </row>
    <row r="645" ht="12.75">
      <c r="A645" s="85"/>
    </row>
  </sheetData>
  <sheetProtection/>
  <mergeCells count="1">
    <mergeCell ref="A12:G12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64" r:id="rId3"/>
  <headerFooter alignWithMargins="0">
    <oddFooter>&amp;C&amp;P</oddFooter>
  </headerFooter>
  <rowBreaks count="1" manualBreakCount="1">
    <brk id="567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2013-09-16T14:20:01Z</cp:lastPrinted>
  <dcterms:created xsi:type="dcterms:W3CDTF">2007-08-13T07:10:11Z</dcterms:created>
  <dcterms:modified xsi:type="dcterms:W3CDTF">2013-11-05T13:19:10Z</dcterms:modified>
  <cp:category/>
  <cp:version/>
  <cp:contentType/>
  <cp:contentStatus/>
</cp:coreProperties>
</file>