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700" windowHeight="6555" tabRatio="892" activeTab="0"/>
  </bookViews>
  <sheets>
    <sheet name="Дотация на выравнивание" sheetId="1" r:id="rId1"/>
  </sheets>
  <definedNames>
    <definedName name="_xlnm.Print_Area" localSheetId="0">'Дотация на выравнивание'!$A$1:$T$27</definedName>
  </definedNames>
  <calcPr fullCalcOnLoad="1"/>
</workbook>
</file>

<file path=xl/sharedStrings.xml><?xml version="1.0" encoding="utf-8"?>
<sst xmlns="http://schemas.openxmlformats.org/spreadsheetml/2006/main" count="47" uniqueCount="45">
  <si>
    <t xml:space="preserve"> ИТОГО </t>
  </si>
  <si>
    <t>ОБЛАСТНОЙ</t>
  </si>
  <si>
    <r>
      <t xml:space="preserve">ВСЕГО </t>
    </r>
    <r>
      <rPr>
        <b/>
        <sz val="10"/>
        <rFont val="Times New Roman CYR"/>
        <family val="1"/>
      </rPr>
      <t>ОБЛАСТЬ</t>
    </r>
  </si>
  <si>
    <t>2003 год</t>
  </si>
  <si>
    <t>отклонение</t>
  </si>
  <si>
    <t>норматив отчислений</t>
  </si>
  <si>
    <t>Индекс налогового потенциала</t>
  </si>
  <si>
    <t>Индекс бюджетных расходов</t>
  </si>
  <si>
    <t>Бюджетная обеспеченность</t>
  </si>
  <si>
    <t>Потребность в средствах для доведения до критерия выравнивания</t>
  </si>
  <si>
    <t xml:space="preserve">Критерий выравнивания бюджетной обеспеченности </t>
  </si>
  <si>
    <t>ОТЧИСЛЕНИЯ НАЛОГА НА ДОХОДЫ ФИЗИЧЕСКИХ ЛИЦ</t>
  </si>
  <si>
    <t xml:space="preserve">НАИМЕНОВАНИЕ  ПОКАЗАТЕЛЕЙ            </t>
  </si>
  <si>
    <t>ОТЧИСЛЕНИЯ ЕДИНОГО СЕЛЬСКОХОЗЯЙСТВЕННОГО НАЛОГА</t>
  </si>
  <si>
    <r>
      <t>ГОСПОШЛИНА</t>
    </r>
    <r>
      <rPr>
        <sz val="10"/>
        <rFont val="Arial Cyr"/>
        <family val="2"/>
      </rPr>
      <t xml:space="preserve"> (потенциал МО 100%)</t>
    </r>
  </si>
  <si>
    <t>Распределение дотаций на выравнивание бюджетной обеспеченности поселений</t>
  </si>
  <si>
    <t>Распределение дотаций из областного фонда финансовой поддержки поселений (1 часть дотации на выравнивание)</t>
  </si>
  <si>
    <t>Распределение 2 части дотации на выравнивание бюджетной обеспеченности поселений</t>
  </si>
  <si>
    <t>х</t>
  </si>
  <si>
    <t xml:space="preserve">ИТОГО НАЛОГОВЫХ ДОХОДОВ </t>
  </si>
  <si>
    <t>Справочно: бюджетная обеспеченность после выравнивания</t>
  </si>
  <si>
    <t>Всего дотаций на выравнивание</t>
  </si>
  <si>
    <t xml:space="preserve"> АКЦИЗЫ НА НЕФТЕПРОДУКТЫ (по дифференцированным нормативам)</t>
  </si>
  <si>
    <t>ЗЕМЕЛЬНЫЙ НАЛОГ</t>
  </si>
  <si>
    <t>ЕДИНЫЙ  СЕЛЬХОЗНАЛОГ (ЕСХН) - контингент</t>
  </si>
  <si>
    <t xml:space="preserve"> НАЛОГ на ДОХОДЫ ФИЗИЧЕСКИХ ЛИЦ (НДФЛ)- контингент</t>
  </si>
  <si>
    <t>НАЛОГ НА ИМУЩЕСТВО ФИЗИЧЕСКИХ ЛИЦ (НИФЛ)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</si>
  <si>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</si>
  <si>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</si>
  <si>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</si>
  <si>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</si>
  <si>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</si>
  <si>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</si>
  <si>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</si>
  <si>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</si>
  <si>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</si>
  <si>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</si>
  <si>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</si>
  <si>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</si>
  <si>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</si>
  <si>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</si>
  <si>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Среднедушевые налоговые доходы, руб./чел.</t>
  </si>
  <si>
    <r>
      <t xml:space="preserve">РАСПРЕДЕЛЕНИЕ ДОТАЦИЙ НА ВЫРАВНИВАНИЕ БЮДЖЕТНОЙ ОБЕСПЕЧЕННОСТИ ПОСЕЛЕНИЙ НА </t>
    </r>
    <r>
      <rPr>
        <b/>
        <sz val="14"/>
        <rFont val="Arial Cyr"/>
        <family val="2"/>
      </rPr>
      <t xml:space="preserve">2015 </t>
    </r>
    <r>
      <rPr>
        <b/>
        <sz val="12"/>
        <rFont val="Arial Cyr"/>
        <family val="2"/>
      </rPr>
      <t xml:space="preserve">ГОД , рублей  </t>
    </r>
  </si>
  <si>
    <t>Численность населения на 01.01.2014 г. чел.</t>
  </si>
  <si>
    <t>Приложение №2 к пояснительной записке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</si>
</sst>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#,##0.00_ ;[Red]\-#,##0.00\ "/>
    <numFmt numFmtId="172" formatCode="0.0_ ;[Red]\-0.0\ "/>
    <numFmt numFmtId="173" formatCode="#,##0_ ;[Red]\-#,##0\ "/>
    <numFmt numFmtId="174" formatCode="#,##0.000_ ;[Red]\-#,##0.000\ "/>
    <numFmt numFmtId="175" formatCode="_-* #,##0.000_р_._-;\-* #,##0.000_р_._-;_-* &quot;-&quot;???_р_._-;_-@_-"/>
    <numFmt numFmtId="176" formatCode="mmmm/yyyy\ &quot;года&quot;"/>
    <numFmt numFmtId="177" formatCode="_-* #,##0.00_р_._-;\-* #,##0.00_р_._-;_-* &quot;-&quot;???_р_._-;_-@_-"/>
    <numFmt numFmtId="178" formatCode="_-* #,##0.0_р_._-;\-* #,##0.0_р_._-;_-* &quot;-&quot;???_р_._-;_-@_-"/>
    <numFmt numFmtId="179" formatCode="_-* #,##0_р_._-;\-* #,##0_р_._-;_-* &quot;-&quot;???_р_._-;_-@_-"/>
    <numFmt numFmtId="180" formatCode="_-* #,##0.0000_р_._-;\-* #,##0.0000_р_._-;_-* &quot;-&quot;???_р_._-;_-@_-"/>
    <numFmt numFmtId="181" formatCode="_-* #,##0.00000_р_._-;\-* #,##0.00000_р_._-;_-* &quot;-&quot;???_р_._-;_-@_-"/>
    <numFmt numFmtId="182" formatCode="_-* #,##0.0_р_._-;\-* #,##0.0_р_._-;_-* &quot;-&quot;?_р_._-;_-@_-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00000"/>
    <numFmt numFmtId="188" formatCode="0.00_ ;[Red]\-0.00\ "/>
    <numFmt numFmtId="189" formatCode="0_ ;[Red]\-0\ "/>
    <numFmt numFmtId="190" formatCode="#,##0_р_."/>
    <numFmt numFmtId="191" formatCode="_-* #,##0.0_р_._-;\-* #,##0.0_р_._-;_-* &quot;-&quot;??_р_._-;_-@_-"/>
    <numFmt numFmtId="192" formatCode="_-* #,##0_р_._-;\-* #,##0_р_._-;_-* &quot;-&quot;??_р_._-;_-@_-"/>
    <numFmt numFmtId="193" formatCode="#,##0.0"/>
    <numFmt numFmtId="194" formatCode="_(* #,##0_);_(* \(#,##0\);_(* &quot;-&quot;??_);_(@_)"/>
    <numFmt numFmtId="195" formatCode="#,##0.000"/>
    <numFmt numFmtId="196" formatCode="_-* #,##0.000_р_._-;\-* #,##0.000_р_._-;_-* &quot;-&quot;??_р_._-;_-@_-"/>
    <numFmt numFmtId="197" formatCode="_(* #,##0.00_);_(* \(#,##0.00\);_(* &quot;-&quot;??_);_(@_)"/>
    <numFmt numFmtId="198" formatCode="_-* #,##0.0000_р_._-;\-* #,##0.0000_р_._-;_-* &quot;-&quot;??_р_._-;_-@_-"/>
    <numFmt numFmtId="199" formatCode="0.0000000"/>
    <numFmt numFmtId="200" formatCode="_-* #,##0.00_р_._-;\-* #,##0.00_р_._-;_-* &quot;-&quot;?_р_._-;_-@_-"/>
    <numFmt numFmtId="201" formatCode="_-* #,##0.0000_р_._-;\-* #,##0.0000_р_._-;_-* &quot;-&quot;?_р_._-;_-@_-"/>
    <numFmt numFmtId="202" formatCode="0.000000000"/>
    <numFmt numFmtId="203" formatCode="0.0000000000"/>
    <numFmt numFmtId="204" formatCode="0.00000000"/>
    <numFmt numFmtId="205" formatCode="_-* #,##0.00000_р_._-;\-* #,##0.00000_р_._-;_-* &quot;-&quot;??_р_._-;_-@_-"/>
    <numFmt numFmtId="206" formatCode="0.0000%"/>
    <numFmt numFmtId="207" formatCode="_-* #,##0_р_._-;\-* #,##0_р_._-;_-* &quot;-&quot;?_р_._-;_-@_-"/>
    <numFmt numFmtId="208" formatCode="0.000%"/>
    <numFmt numFmtId="209" formatCode="[$€-2]\ ###,000_);[Red]\([$€-2]\ ###,000\)"/>
    <numFmt numFmtId="210" formatCode="#,##0.0000"/>
    <numFmt numFmtId="211" formatCode="#,##0.0_ ;\-#,##0.0\ "/>
    <numFmt numFmtId="212" formatCode="_(* #,##0.0_);_(* \(#,##0.0\);_(* &quot;-&quot;??_);_(@_)"/>
    <numFmt numFmtId="213" formatCode="#,##0.00_ ;\-#,##0.00\ "/>
    <numFmt numFmtId="214" formatCode="#,##0.000_ ;\-#,##0.000\ "/>
  </numFmts>
  <fonts count="6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7"/>
      <name val="Arial Cyr"/>
      <family val="2"/>
    </font>
    <font>
      <sz val="7"/>
      <color indexed="8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6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9"/>
      <name val="Arial Cyr"/>
      <family val="2"/>
    </font>
    <font>
      <sz val="11"/>
      <name val="Arial Cyr"/>
      <family val="2"/>
    </font>
    <font>
      <b/>
      <u val="single"/>
      <sz val="11"/>
      <name val="Arial Cyr"/>
      <family val="2"/>
    </font>
    <font>
      <sz val="9"/>
      <name val="Arial Cyr"/>
      <family val="0"/>
    </font>
    <font>
      <b/>
      <sz val="10"/>
      <color indexed="12"/>
      <name val="Arial Cyr"/>
      <family val="2"/>
    </font>
    <font>
      <b/>
      <sz val="11"/>
      <name val="Arial Cyr"/>
      <family val="2"/>
    </font>
    <font>
      <b/>
      <u val="single"/>
      <sz val="10"/>
      <color indexed="12"/>
      <name val="Arial Cyr"/>
      <family val="2"/>
    </font>
    <font>
      <b/>
      <sz val="9"/>
      <color indexed="17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9"/>
      <color indexed="12"/>
      <name val="Arial Cyr"/>
      <family val="2"/>
    </font>
    <font>
      <b/>
      <sz val="9"/>
      <color indexed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14" fontId="7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0" applyNumberFormat="1" applyFont="1" applyBorder="1" applyAlignment="1" applyProtection="1">
      <alignment horizontal="center" vertical="center" wrapText="1"/>
      <protection locked="0"/>
    </xf>
    <xf numFmtId="1" fontId="12" fillId="0" borderId="13" xfId="0" applyNumberFormat="1" applyFon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3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15" xfId="0" applyNumberFormat="1" applyFont="1" applyFill="1" applyBorder="1" applyAlignment="1" applyProtection="1">
      <alignment vertical="center"/>
      <protection/>
    </xf>
    <xf numFmtId="3" fontId="18" fillId="0" borderId="16" xfId="0" applyNumberFormat="1" applyFont="1" applyBorder="1" applyAlignment="1" applyProtection="1">
      <alignment vertical="center"/>
      <protection/>
    </xf>
    <xf numFmtId="3" fontId="18" fillId="0" borderId="15" xfId="0" applyNumberFormat="1" applyFont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9" fontId="19" fillId="0" borderId="18" xfId="57" applyFont="1" applyFill="1" applyBorder="1" applyAlignment="1" applyProtection="1">
      <alignment horizontal="center" vertical="center" wrapText="1"/>
      <protection locked="0"/>
    </xf>
    <xf numFmtId="9" fontId="19" fillId="33" borderId="19" xfId="57" applyFont="1" applyFill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vertical="center"/>
      <protection/>
    </xf>
    <xf numFmtId="3" fontId="18" fillId="0" borderId="21" xfId="0" applyNumberFormat="1" applyFont="1" applyBorder="1" applyAlignment="1" applyProtection="1">
      <alignment vertical="center"/>
      <protection/>
    </xf>
    <xf numFmtId="3" fontId="15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23" xfId="0" applyNumberFormat="1" applyFont="1" applyFill="1" applyBorder="1" applyAlignment="1" applyProtection="1">
      <alignment vertical="center"/>
      <protection/>
    </xf>
    <xf numFmtId="3" fontId="1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25" xfId="0" applyNumberFormat="1" applyFont="1" applyFill="1" applyBorder="1" applyAlignment="1" applyProtection="1">
      <alignment vertical="center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9" fontId="19" fillId="0" borderId="26" xfId="57" applyFont="1" applyFill="1" applyBorder="1" applyAlignment="1" applyProtection="1">
      <alignment horizontal="center" vertical="center" wrapText="1"/>
      <protection locked="0"/>
    </xf>
    <xf numFmtId="3" fontId="18" fillId="0" borderId="27" xfId="0" applyNumberFormat="1" applyFont="1" applyBorder="1" applyAlignment="1" applyProtection="1">
      <alignment vertical="center"/>
      <protection/>
    </xf>
    <xf numFmtId="3" fontId="18" fillId="0" borderId="19" xfId="0" applyNumberFormat="1" applyFont="1" applyBorder="1" applyAlignment="1" applyProtection="1">
      <alignment vertical="center"/>
      <protection/>
    </xf>
    <xf numFmtId="1" fontId="1" fillId="33" borderId="26" xfId="0" applyNumberFormat="1" applyFont="1" applyFill="1" applyBorder="1" applyAlignment="1" applyProtection="1">
      <alignment horizontal="left" vertical="center" wrapText="1"/>
      <protection locked="0"/>
    </xf>
    <xf numFmtId="3" fontId="19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19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26" xfId="0" applyNumberFormat="1" applyFont="1" applyFill="1" applyBorder="1" applyAlignment="1" applyProtection="1">
      <alignment horizontal="right" vertical="center" wrapText="1"/>
      <protection locked="0"/>
    </xf>
    <xf numFmtId="1" fontId="22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0" xfId="57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1" fontId="25" fillId="0" borderId="0" xfId="0" applyNumberFormat="1" applyFont="1" applyBorder="1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vertical="center"/>
      <protection/>
    </xf>
    <xf numFmtId="1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28" xfId="57" applyNumberFormat="1" applyFont="1" applyFill="1" applyBorder="1" applyAlignment="1" applyProtection="1">
      <alignment horizontal="right" vertical="center"/>
      <protection/>
    </xf>
    <xf numFmtId="3" fontId="23" fillId="0" borderId="26" xfId="57" applyNumberFormat="1" applyFont="1" applyFill="1" applyBorder="1" applyAlignment="1" applyProtection="1">
      <alignment horizontal="right" vertical="center"/>
      <protection/>
    </xf>
    <xf numFmtId="195" fontId="14" fillId="0" borderId="28" xfId="57" applyNumberFormat="1" applyFont="1" applyFill="1" applyBorder="1" applyAlignment="1" applyProtection="1">
      <alignment horizontal="right" vertical="center"/>
      <protection/>
    </xf>
    <xf numFmtId="195" fontId="14" fillId="0" borderId="26" xfId="57" applyNumberFormat="1" applyFont="1" applyFill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10" fontId="1" fillId="0" borderId="26" xfId="57" applyNumberFormat="1" applyFont="1" applyFill="1" applyBorder="1" applyAlignment="1">
      <alignment horizontal="center" vertical="center"/>
    </xf>
    <xf numFmtId="10" fontId="19" fillId="0" borderId="25" xfId="5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92" fontId="0" fillId="0" borderId="0" xfId="60" applyNumberFormat="1" applyFont="1" applyFill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0" fontId="19" fillId="35" borderId="26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9" fontId="19" fillId="0" borderId="25" xfId="57" applyFont="1" applyFill="1" applyBorder="1" applyAlignment="1" applyProtection="1">
      <alignment horizontal="center" vertical="center" wrapText="1"/>
      <protection locked="0"/>
    </xf>
    <xf numFmtId="3" fontId="18" fillId="0" borderId="29" xfId="0" applyNumberFormat="1" applyFont="1" applyBorder="1" applyAlignment="1" applyProtection="1">
      <alignment vertical="center"/>
      <protection/>
    </xf>
    <xf numFmtId="1" fontId="13" fillId="0" borderId="30" xfId="0" applyNumberFormat="1" applyFont="1" applyBorder="1" applyAlignment="1" applyProtection="1">
      <alignment horizontal="center" vertical="center"/>
      <protection locked="0"/>
    </xf>
    <xf numFmtId="1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right" vertical="center" wrapText="1"/>
    </xf>
    <xf numFmtId="168" fontId="1" fillId="0" borderId="26" xfId="0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96" fontId="27" fillId="35" borderId="25" xfId="60" applyNumberFormat="1" applyFont="1" applyFill="1" applyBorder="1" applyAlignment="1">
      <alignment vertical="center"/>
    </xf>
    <xf numFmtId="0" fontId="19" fillId="35" borderId="0" xfId="0" applyFont="1" applyFill="1" applyBorder="1" applyAlignment="1">
      <alignment horizontal="left" vertical="center" wrapText="1"/>
    </xf>
    <xf numFmtId="179" fontId="19" fillId="35" borderId="0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vertical="center" wrapText="1"/>
    </xf>
    <xf numFmtId="3" fontId="28" fillId="34" borderId="32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33" xfId="0" applyNumberFormat="1" applyFont="1" applyFill="1" applyBorder="1" applyAlignment="1" applyProtection="1">
      <alignment horizontal="left" vertical="center" wrapText="1"/>
      <protection locked="0"/>
    </xf>
    <xf numFmtId="3" fontId="28" fillId="34" borderId="26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34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35" xfId="0" applyNumberFormat="1" applyFont="1" applyFill="1" applyBorder="1" applyAlignment="1" applyProtection="1">
      <alignment vertical="center"/>
      <protection/>
    </xf>
    <xf numFmtId="9" fontId="19" fillId="0" borderId="36" xfId="57" applyFont="1" applyFill="1" applyBorder="1" applyAlignment="1" applyProtection="1">
      <alignment horizontal="center" vertical="center" wrapText="1"/>
      <protection locked="0"/>
    </xf>
    <xf numFmtId="1" fontId="10" fillId="0" borderId="31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37" xfId="57" applyFont="1" applyFill="1" applyBorder="1" applyAlignment="1" applyProtection="1">
      <alignment horizontal="center" vertical="center" wrapText="1"/>
      <protection locked="0"/>
    </xf>
    <xf numFmtId="3" fontId="28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28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26" xfId="57" applyNumberFormat="1" applyFont="1" applyFill="1" applyBorder="1" applyAlignment="1" applyProtection="1">
      <alignment horizontal="right" vertical="center"/>
      <protection/>
    </xf>
    <xf numFmtId="195" fontId="28" fillId="0" borderId="26" xfId="57" applyNumberFormat="1" applyFont="1" applyFill="1" applyBorder="1" applyAlignment="1" applyProtection="1">
      <alignment horizontal="right" vertical="center"/>
      <protection/>
    </xf>
    <xf numFmtId="168" fontId="2" fillId="0" borderId="26" xfId="0" applyNumberFormat="1" applyFont="1" applyFill="1" applyBorder="1" applyAlignment="1">
      <alignment horizontal="right" vertical="center"/>
    </xf>
    <xf numFmtId="168" fontId="28" fillId="0" borderId="26" xfId="0" applyNumberFormat="1" applyFont="1" applyBorder="1" applyAlignment="1">
      <alignment horizontal="right"/>
    </xf>
    <xf numFmtId="3" fontId="28" fillId="35" borderId="26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25" xfId="57" applyNumberFormat="1" applyFont="1" applyFill="1" applyBorder="1" applyAlignment="1" applyProtection="1">
      <alignment horizontal="right" vertical="center"/>
      <protection/>
    </xf>
    <xf numFmtId="195" fontId="28" fillId="0" borderId="25" xfId="57" applyNumberFormat="1" applyFont="1" applyFill="1" applyBorder="1" applyAlignment="1" applyProtection="1">
      <alignment horizontal="right" vertical="center"/>
      <protection/>
    </xf>
    <xf numFmtId="168" fontId="2" fillId="0" borderId="25" xfId="0" applyNumberFormat="1" applyFont="1" applyFill="1" applyBorder="1" applyAlignment="1">
      <alignment horizontal="right" vertical="center"/>
    </xf>
    <xf numFmtId="1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15" fillId="36" borderId="24" xfId="0" applyNumberFormat="1" applyFont="1" applyFill="1" applyBorder="1" applyAlignment="1" applyProtection="1">
      <alignment horizontal="right" vertical="center" wrapText="1"/>
      <protection locked="0"/>
    </xf>
    <xf numFmtId="3" fontId="16" fillId="36" borderId="25" xfId="0" applyNumberFormat="1" applyFont="1" applyFill="1" applyBorder="1" applyAlignment="1" applyProtection="1">
      <alignment vertical="center"/>
      <protection/>
    </xf>
    <xf numFmtId="3" fontId="18" fillId="36" borderId="27" xfId="0" applyNumberFormat="1" applyFont="1" applyFill="1" applyBorder="1" applyAlignment="1" applyProtection="1">
      <alignment vertical="center"/>
      <protection/>
    </xf>
    <xf numFmtId="3" fontId="18" fillId="36" borderId="19" xfId="0" applyNumberFormat="1" applyFont="1" applyFill="1" applyBorder="1" applyAlignment="1" applyProtection="1">
      <alignment vertical="center"/>
      <protection/>
    </xf>
    <xf numFmtId="1" fontId="13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3" fontId="20" fillId="36" borderId="27" xfId="0" applyNumberFormat="1" applyFont="1" applyFill="1" applyBorder="1" applyAlignment="1" applyProtection="1">
      <alignment vertical="center"/>
      <protection/>
    </xf>
    <xf numFmtId="3" fontId="20" fillId="36" borderId="19" xfId="0" applyNumberFormat="1" applyFont="1" applyFill="1" applyBorder="1" applyAlignment="1" applyProtection="1">
      <alignment vertical="center"/>
      <protection/>
    </xf>
    <xf numFmtId="3" fontId="20" fillId="36" borderId="38" xfId="0" applyNumberFormat="1" applyFont="1" applyFill="1" applyBorder="1" applyAlignment="1" applyProtection="1">
      <alignment vertical="center"/>
      <protection/>
    </xf>
    <xf numFmtId="1" fontId="13" fillId="36" borderId="30" xfId="0" applyNumberFormat="1" applyFont="1" applyFill="1" applyBorder="1" applyAlignment="1" applyProtection="1">
      <alignment horizontal="center" vertical="center"/>
      <protection locked="0"/>
    </xf>
    <xf numFmtId="3" fontId="28" fillId="34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40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75" zoomScaleSheetLayoutView="75" zoomScalePageLayoutView="0" workbookViewId="0" topLeftCell="A17">
      <selection activeCell="A27" sqref="A27"/>
    </sheetView>
  </sheetViews>
  <sheetFormatPr defaultColWidth="9.00390625" defaultRowHeight="12.75"/>
  <cols>
    <col min="1" max="1" width="38.25390625" style="0" customWidth="1"/>
    <col min="2" max="2" width="14.75390625" style="0" bestFit="1" customWidth="1"/>
    <col min="3" max="3" width="15.125" style="0" bestFit="1" customWidth="1"/>
    <col min="4" max="5" width="13.25390625" style="0" bestFit="1" customWidth="1"/>
    <col min="6" max="6" width="17.25390625" style="0" bestFit="1" customWidth="1"/>
    <col min="7" max="7" width="13.25390625" style="0" bestFit="1" customWidth="1"/>
    <col min="8" max="9" width="13.375" style="0" bestFit="1" customWidth="1"/>
    <col min="10" max="10" width="12.875" style="0" bestFit="1" customWidth="1"/>
    <col min="11" max="11" width="13.375" style="0" bestFit="1" customWidth="1"/>
    <col min="12" max="14" width="14.75390625" style="0" bestFit="1" customWidth="1"/>
    <col min="15" max="15" width="13.125" style="0" customWidth="1"/>
    <col min="16" max="16" width="17.125" style="0" customWidth="1"/>
    <col min="17" max="17" width="11.75390625" style="0" hidden="1" customWidth="1"/>
    <col min="18" max="20" width="11.25390625" style="0" hidden="1" customWidth="1"/>
    <col min="21" max="21" width="2.00390625" style="0" customWidth="1"/>
    <col min="22" max="22" width="12.125" style="0" customWidth="1"/>
    <col min="23" max="23" width="8.375" style="0" customWidth="1"/>
  </cols>
  <sheetData>
    <row r="1" ht="12.75">
      <c r="N1" t="s">
        <v>44</v>
      </c>
    </row>
    <row r="2" spans="1:23" ht="18.75" thickBot="1">
      <c r="A2" s="2" t="s">
        <v>42</v>
      </c>
      <c r="B2" s="3"/>
      <c r="C2" s="4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5"/>
      <c r="Q2" s="6"/>
      <c r="R2" s="7"/>
      <c r="S2" s="7"/>
      <c r="T2" s="7"/>
      <c r="U2" s="7"/>
      <c r="V2" s="7"/>
      <c r="W2" s="7"/>
    </row>
    <row r="3" spans="1:27" ht="33.75" customHeight="1" thickBot="1">
      <c r="A3" s="64" t="s">
        <v>12</v>
      </c>
      <c r="B3" s="78" t="s">
        <v>27</v>
      </c>
      <c r="C3" s="78" t="s">
        <v>28</v>
      </c>
      <c r="D3" s="78" t="s">
        <v>29</v>
      </c>
      <c r="E3" s="78" t="s">
        <v>30</v>
      </c>
      <c r="F3" s="78" t="s">
        <v>31</v>
      </c>
      <c r="G3" s="78" t="s">
        <v>32</v>
      </c>
      <c r="H3" s="78" t="s">
        <v>33</v>
      </c>
      <c r="I3" s="78" t="s">
        <v>34</v>
      </c>
      <c r="J3" s="78" t="s">
        <v>35</v>
      </c>
      <c r="K3" s="78" t="s">
        <v>36</v>
      </c>
      <c r="L3" s="78" t="s">
        <v>37</v>
      </c>
      <c r="M3" s="78" t="s">
        <v>38</v>
      </c>
      <c r="N3" s="78" t="s">
        <v>39</v>
      </c>
      <c r="O3" s="78" t="s">
        <v>40</v>
      </c>
      <c r="P3" s="79" t="s">
        <v>0</v>
      </c>
      <c r="Q3" s="8" t="s">
        <v>1</v>
      </c>
      <c r="R3" s="9" t="s">
        <v>2</v>
      </c>
      <c r="S3" s="10" t="s">
        <v>3</v>
      </c>
      <c r="T3" s="11" t="s">
        <v>4</v>
      </c>
      <c r="U3" s="12"/>
      <c r="V3" s="12"/>
      <c r="W3" s="12"/>
      <c r="X3" s="13"/>
      <c r="Y3" s="13"/>
      <c r="Z3" s="13"/>
      <c r="AA3" s="13"/>
    </row>
    <row r="4" spans="1:27" ht="25.5">
      <c r="A4" s="73" t="s">
        <v>25</v>
      </c>
      <c r="B4" s="72">
        <v>88000000</v>
      </c>
      <c r="C4" s="72">
        <v>13500000</v>
      </c>
      <c r="D4" s="72">
        <v>3800000</v>
      </c>
      <c r="E4" s="72">
        <v>1075000</v>
      </c>
      <c r="F4" s="72">
        <v>2590000</v>
      </c>
      <c r="G4" s="72">
        <v>1400000</v>
      </c>
      <c r="H4" s="72">
        <v>2580000</v>
      </c>
      <c r="I4" s="72">
        <v>1425000</v>
      </c>
      <c r="J4" s="72">
        <v>747000</v>
      </c>
      <c r="K4" s="72">
        <v>2250000</v>
      </c>
      <c r="L4" s="72">
        <v>127974100</v>
      </c>
      <c r="M4" s="72">
        <v>15000000</v>
      </c>
      <c r="N4" s="72">
        <v>14300000</v>
      </c>
      <c r="O4" s="72">
        <v>3300000</v>
      </c>
      <c r="P4" s="72">
        <f>SUM(B4:O4)</f>
        <v>277941100</v>
      </c>
      <c r="Q4" s="14">
        <v>0</v>
      </c>
      <c r="R4" s="15">
        <f>P4+Q4</f>
        <v>277941100</v>
      </c>
      <c r="S4" s="16">
        <v>3731680</v>
      </c>
      <c r="T4" s="17">
        <f>R4-S4</f>
        <v>274209420</v>
      </c>
      <c r="U4" s="12"/>
      <c r="V4" s="12"/>
      <c r="W4" s="12"/>
      <c r="X4" s="13"/>
      <c r="Y4" s="13"/>
      <c r="Z4" s="13"/>
      <c r="AA4" s="13"/>
    </row>
    <row r="5" spans="1:27" ht="15">
      <c r="A5" s="18" t="s">
        <v>5</v>
      </c>
      <c r="B5" s="77">
        <v>0.1</v>
      </c>
      <c r="C5" s="77">
        <v>0.1</v>
      </c>
      <c r="D5" s="77">
        <v>0.1</v>
      </c>
      <c r="E5" s="77">
        <v>0.1</v>
      </c>
      <c r="F5" s="77">
        <v>0.1</v>
      </c>
      <c r="G5" s="77">
        <v>0.1</v>
      </c>
      <c r="H5" s="77">
        <v>0.1</v>
      </c>
      <c r="I5" s="77">
        <v>0.1</v>
      </c>
      <c r="J5" s="77">
        <v>0.1</v>
      </c>
      <c r="K5" s="77">
        <v>0.1</v>
      </c>
      <c r="L5" s="77">
        <v>0.1</v>
      </c>
      <c r="M5" s="77">
        <v>0.1</v>
      </c>
      <c r="N5" s="77">
        <v>0.1</v>
      </c>
      <c r="O5" s="77">
        <v>0.1</v>
      </c>
      <c r="P5" s="80" t="s">
        <v>18</v>
      </c>
      <c r="Q5" s="19" t="e">
        <f>R5-P5</f>
        <v>#VALUE!</v>
      </c>
      <c r="R5" s="20">
        <v>1</v>
      </c>
      <c r="S5" s="21"/>
      <c r="T5" s="22"/>
      <c r="U5" s="12"/>
      <c r="V5" s="12"/>
      <c r="W5" s="12"/>
      <c r="X5" s="13"/>
      <c r="Y5" s="13"/>
      <c r="Z5" s="13"/>
      <c r="AA5" s="13"/>
    </row>
    <row r="6" spans="1:27" ht="25.5">
      <c r="A6" s="73" t="s">
        <v>11</v>
      </c>
      <c r="B6" s="74">
        <f aca="true" t="shared" si="0" ref="B6:O6">ROUND(B4*B5,0)</f>
        <v>8800000</v>
      </c>
      <c r="C6" s="74">
        <f t="shared" si="0"/>
        <v>1350000</v>
      </c>
      <c r="D6" s="74">
        <f t="shared" si="0"/>
        <v>380000</v>
      </c>
      <c r="E6" s="74">
        <f t="shared" si="0"/>
        <v>107500</v>
      </c>
      <c r="F6" s="74">
        <f t="shared" si="0"/>
        <v>259000</v>
      </c>
      <c r="G6" s="74">
        <f t="shared" si="0"/>
        <v>140000</v>
      </c>
      <c r="H6" s="74">
        <f t="shared" si="0"/>
        <v>258000</v>
      </c>
      <c r="I6" s="74">
        <f t="shared" si="0"/>
        <v>142500</v>
      </c>
      <c r="J6" s="74">
        <f t="shared" si="0"/>
        <v>74700</v>
      </c>
      <c r="K6" s="74">
        <f t="shared" si="0"/>
        <v>225000</v>
      </c>
      <c r="L6" s="74">
        <f t="shared" si="0"/>
        <v>12797410</v>
      </c>
      <c r="M6" s="74">
        <f t="shared" si="0"/>
        <v>1500000</v>
      </c>
      <c r="N6" s="74">
        <f t="shared" si="0"/>
        <v>1430000</v>
      </c>
      <c r="O6" s="74">
        <f t="shared" si="0"/>
        <v>330000</v>
      </c>
      <c r="P6" s="74">
        <f>SUM(B6:O6)</f>
        <v>27794110</v>
      </c>
      <c r="Q6" s="23">
        <f>R6-P6</f>
        <v>250146990</v>
      </c>
      <c r="R6" s="24">
        <f>R4</f>
        <v>277941100</v>
      </c>
      <c r="S6" s="21"/>
      <c r="T6" s="62"/>
      <c r="U6" s="63"/>
      <c r="V6" s="12"/>
      <c r="W6" s="12"/>
      <c r="X6" s="13"/>
      <c r="Y6" s="13"/>
      <c r="Z6" s="13"/>
      <c r="AA6" s="13"/>
    </row>
    <row r="7" spans="1:27" ht="25.5">
      <c r="A7" s="73" t="s">
        <v>22</v>
      </c>
      <c r="B7" s="72">
        <v>1022569</v>
      </c>
      <c r="C7" s="72">
        <v>424585</v>
      </c>
      <c r="D7" s="72">
        <v>71706</v>
      </c>
      <c r="E7" s="72">
        <v>22815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82788</v>
      </c>
      <c r="N7" s="72">
        <v>106255</v>
      </c>
      <c r="O7" s="72">
        <v>0</v>
      </c>
      <c r="P7" s="74">
        <f>SUM(B7:O7)</f>
        <v>1730718</v>
      </c>
      <c r="Q7" s="75"/>
      <c r="R7" s="76"/>
      <c r="S7" s="21"/>
      <c r="T7" s="62"/>
      <c r="U7" s="12"/>
      <c r="V7" s="12"/>
      <c r="W7" s="12"/>
      <c r="X7" s="13"/>
      <c r="Y7" s="13"/>
      <c r="Z7" s="13"/>
      <c r="AA7" s="13"/>
    </row>
    <row r="8" spans="1:27" s="99" customFormat="1" ht="25.5">
      <c r="A8" s="73" t="s">
        <v>24</v>
      </c>
      <c r="B8" s="74">
        <v>20700</v>
      </c>
      <c r="C8" s="74">
        <v>0</v>
      </c>
      <c r="D8" s="74">
        <v>9700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15000</v>
      </c>
      <c r="L8" s="74">
        <v>0</v>
      </c>
      <c r="M8" s="74">
        <v>4263900</v>
      </c>
      <c r="N8" s="74">
        <v>0</v>
      </c>
      <c r="O8" s="74">
        <v>430900</v>
      </c>
      <c r="P8" s="74">
        <f>SUM(B8:O8)</f>
        <v>4740200</v>
      </c>
      <c r="Q8" s="93">
        <v>0</v>
      </c>
      <c r="R8" s="94">
        <f>P8+Q8</f>
        <v>4740200</v>
      </c>
      <c r="S8" s="100"/>
      <c r="T8" s="101"/>
      <c r="U8" s="97"/>
      <c r="V8" s="97"/>
      <c r="W8" s="97"/>
      <c r="X8" s="98"/>
      <c r="Y8" s="98"/>
      <c r="Z8" s="98"/>
      <c r="AA8" s="98"/>
    </row>
    <row r="9" spans="1:27" ht="15">
      <c r="A9" s="27" t="s">
        <v>5</v>
      </c>
      <c r="B9" s="28">
        <v>0.5</v>
      </c>
      <c r="C9" s="28">
        <v>0.5</v>
      </c>
      <c r="D9" s="28">
        <v>0.5</v>
      </c>
      <c r="E9" s="28">
        <v>0.5</v>
      </c>
      <c r="F9" s="28">
        <v>0.5</v>
      </c>
      <c r="G9" s="28">
        <v>0.5</v>
      </c>
      <c r="H9" s="28">
        <v>0.5</v>
      </c>
      <c r="I9" s="28">
        <v>0.5</v>
      </c>
      <c r="J9" s="28">
        <v>0.5</v>
      </c>
      <c r="K9" s="28">
        <v>0.5</v>
      </c>
      <c r="L9" s="28">
        <v>0.5</v>
      </c>
      <c r="M9" s="28">
        <v>0.5</v>
      </c>
      <c r="N9" s="28">
        <v>0.5</v>
      </c>
      <c r="O9" s="28">
        <v>0.5</v>
      </c>
      <c r="P9" s="61" t="s">
        <v>18</v>
      </c>
      <c r="Q9" s="25">
        <v>519443</v>
      </c>
      <c r="R9" s="26" t="e">
        <f>P9+Q9</f>
        <v>#VALUE!</v>
      </c>
      <c r="S9" s="29">
        <v>30297</v>
      </c>
      <c r="T9" s="30" t="e">
        <f>R9-S9</f>
        <v>#VALUE!</v>
      </c>
      <c r="U9" s="12"/>
      <c r="V9" s="12"/>
      <c r="W9" s="12"/>
      <c r="X9" s="13"/>
      <c r="Y9" s="13"/>
      <c r="Z9" s="13"/>
      <c r="AA9" s="13"/>
    </row>
    <row r="10" spans="1:27" s="99" customFormat="1" ht="25.5">
      <c r="A10" s="73" t="s">
        <v>13</v>
      </c>
      <c r="B10" s="74">
        <v>10500</v>
      </c>
      <c r="C10" s="74">
        <f aca="true" t="shared" si="1" ref="C10:J10">ROUND(C8*C9,0)</f>
        <v>0</v>
      </c>
      <c r="D10" s="74">
        <v>3000</v>
      </c>
      <c r="E10" s="74">
        <f t="shared" si="1"/>
        <v>0</v>
      </c>
      <c r="F10" s="74">
        <f t="shared" si="1"/>
        <v>0</v>
      </c>
      <c r="G10" s="74">
        <f t="shared" si="1"/>
        <v>0</v>
      </c>
      <c r="H10" s="74">
        <f t="shared" si="1"/>
        <v>0</v>
      </c>
      <c r="I10" s="74">
        <f t="shared" si="1"/>
        <v>0</v>
      </c>
      <c r="J10" s="74">
        <f t="shared" si="1"/>
        <v>0</v>
      </c>
      <c r="K10" s="74">
        <v>4000</v>
      </c>
      <c r="L10" s="74">
        <v>150000</v>
      </c>
      <c r="M10" s="74">
        <v>190000</v>
      </c>
      <c r="N10" s="74">
        <v>250000</v>
      </c>
      <c r="O10" s="74">
        <v>102000</v>
      </c>
      <c r="P10" s="74">
        <f aca="true" t="shared" si="2" ref="P10:P15">SUM(B10:O10)</f>
        <v>709500</v>
      </c>
      <c r="Q10" s="93"/>
      <c r="R10" s="94"/>
      <c r="S10" s="95"/>
      <c r="T10" s="96"/>
      <c r="U10" s="97"/>
      <c r="V10" s="97"/>
      <c r="W10" s="97"/>
      <c r="X10" s="98"/>
      <c r="Y10" s="98"/>
      <c r="Z10" s="98"/>
      <c r="AA10" s="98"/>
    </row>
    <row r="11" spans="1:27" s="99" customFormat="1" ht="25.5">
      <c r="A11" s="73" t="s">
        <v>26</v>
      </c>
      <c r="B11" s="74">
        <v>320000</v>
      </c>
      <c r="C11" s="74">
        <v>140000</v>
      </c>
      <c r="D11" s="74">
        <v>34000</v>
      </c>
      <c r="E11" s="74">
        <v>11000</v>
      </c>
      <c r="F11" s="74">
        <v>13500</v>
      </c>
      <c r="G11" s="74">
        <v>16500</v>
      </c>
      <c r="H11" s="74">
        <v>23000</v>
      </c>
      <c r="I11" s="74">
        <v>7000</v>
      </c>
      <c r="J11" s="74">
        <v>5000</v>
      </c>
      <c r="K11" s="74">
        <v>15400</v>
      </c>
      <c r="L11" s="74">
        <v>28000</v>
      </c>
      <c r="M11" s="74">
        <v>27500</v>
      </c>
      <c r="N11" s="74">
        <v>20000</v>
      </c>
      <c r="O11" s="74">
        <v>6000</v>
      </c>
      <c r="P11" s="74">
        <f t="shared" si="2"/>
        <v>666900</v>
      </c>
      <c r="Q11" s="93"/>
      <c r="R11" s="94">
        <f>P11+Q11</f>
        <v>666900</v>
      </c>
      <c r="S11" s="100"/>
      <c r="T11" s="102"/>
      <c r="U11" s="103"/>
      <c r="V11" s="97"/>
      <c r="W11" s="97"/>
      <c r="X11" s="98"/>
      <c r="Y11" s="98"/>
      <c r="Z11" s="98"/>
      <c r="AA11" s="98"/>
    </row>
    <row r="12" spans="1:27" s="99" customFormat="1" ht="15">
      <c r="A12" s="73" t="s">
        <v>23</v>
      </c>
      <c r="B12" s="104">
        <f>1114600</f>
        <v>1114600</v>
      </c>
      <c r="C12" s="104">
        <f>113200+300</f>
        <v>113500</v>
      </c>
      <c r="D12" s="104">
        <v>50600</v>
      </c>
      <c r="E12" s="104">
        <v>38400</v>
      </c>
      <c r="F12" s="104">
        <v>32600</v>
      </c>
      <c r="G12" s="104">
        <v>37800</v>
      </c>
      <c r="H12" s="104">
        <v>132500</v>
      </c>
      <c r="I12" s="104">
        <v>19800</v>
      </c>
      <c r="J12" s="104">
        <v>7000</v>
      </c>
      <c r="K12" s="104">
        <v>6400</v>
      </c>
      <c r="L12" s="104">
        <v>41600</v>
      </c>
      <c r="M12" s="104">
        <v>69800</v>
      </c>
      <c r="N12" s="104">
        <v>19800</v>
      </c>
      <c r="O12" s="104">
        <v>18600</v>
      </c>
      <c r="P12" s="74">
        <f>SUM(B12:O12)</f>
        <v>1703000</v>
      </c>
      <c r="Q12" s="93">
        <v>0</v>
      </c>
      <c r="R12" s="94">
        <f>P12+Q12</f>
        <v>1703000</v>
      </c>
      <c r="S12" s="95">
        <v>168999</v>
      </c>
      <c r="T12" s="96">
        <f>R12-S12</f>
        <v>1534001</v>
      </c>
      <c r="U12" s="97"/>
      <c r="V12" s="97"/>
      <c r="W12" s="97"/>
      <c r="X12" s="98"/>
      <c r="Y12" s="98"/>
      <c r="Z12" s="98"/>
      <c r="AA12" s="98"/>
    </row>
    <row r="13" spans="1:27" ht="15">
      <c r="A13" s="73" t="s">
        <v>14</v>
      </c>
      <c r="B13" s="74">
        <v>0</v>
      </c>
      <c r="C13" s="74">
        <v>40000</v>
      </c>
      <c r="D13" s="74">
        <v>35000</v>
      </c>
      <c r="E13" s="74">
        <v>1000</v>
      </c>
      <c r="F13" s="74">
        <v>6000</v>
      </c>
      <c r="G13" s="74">
        <v>10000</v>
      </c>
      <c r="H13" s="74">
        <v>24000</v>
      </c>
      <c r="I13" s="74">
        <v>3000</v>
      </c>
      <c r="J13" s="74">
        <v>6000</v>
      </c>
      <c r="K13" s="74">
        <v>6000</v>
      </c>
      <c r="L13" s="74">
        <v>7000</v>
      </c>
      <c r="M13" s="74">
        <v>15000</v>
      </c>
      <c r="N13" s="74">
        <v>13000</v>
      </c>
      <c r="O13" s="74">
        <v>5000</v>
      </c>
      <c r="P13" s="81">
        <f>SUM(B13:O13)</f>
        <v>171000</v>
      </c>
      <c r="Q13" s="25">
        <v>314</v>
      </c>
      <c r="R13" s="26">
        <f>P13+Q13</f>
        <v>171314</v>
      </c>
      <c r="S13" s="29">
        <v>18739</v>
      </c>
      <c r="T13" s="30">
        <f>R13-S13</f>
        <v>152575</v>
      </c>
      <c r="U13" s="12"/>
      <c r="V13" s="12"/>
      <c r="W13" s="12"/>
      <c r="X13" s="13"/>
      <c r="Y13" s="13"/>
      <c r="Z13" s="13"/>
      <c r="AA13" s="13"/>
    </row>
    <row r="14" spans="1:27" ht="15">
      <c r="A14" s="31" t="s">
        <v>19</v>
      </c>
      <c r="B14" s="82">
        <f>B6+B7+B10+B11+B12+B13+2</f>
        <v>11267671</v>
      </c>
      <c r="C14" s="82">
        <f aca="true" t="shared" si="3" ref="C14:O14">C6+C7+C10+C11+C12+C13</f>
        <v>2068085</v>
      </c>
      <c r="D14" s="82">
        <f t="shared" si="3"/>
        <v>574306</v>
      </c>
      <c r="E14" s="82">
        <f t="shared" si="3"/>
        <v>180715</v>
      </c>
      <c r="F14" s="82">
        <f t="shared" si="3"/>
        <v>311100</v>
      </c>
      <c r="G14" s="82">
        <f t="shared" si="3"/>
        <v>204300</v>
      </c>
      <c r="H14" s="82">
        <f t="shared" si="3"/>
        <v>437500</v>
      </c>
      <c r="I14" s="82">
        <f t="shared" si="3"/>
        <v>172300</v>
      </c>
      <c r="J14" s="82">
        <f t="shared" si="3"/>
        <v>92700</v>
      </c>
      <c r="K14" s="82">
        <f t="shared" si="3"/>
        <v>256800</v>
      </c>
      <c r="L14" s="82">
        <f t="shared" si="3"/>
        <v>13024010</v>
      </c>
      <c r="M14" s="82">
        <f t="shared" si="3"/>
        <v>1885088</v>
      </c>
      <c r="N14" s="82">
        <f t="shared" si="3"/>
        <v>1839055</v>
      </c>
      <c r="O14" s="82">
        <f t="shared" si="3"/>
        <v>461600</v>
      </c>
      <c r="P14" s="82">
        <f>P6+P7+P10+P11+P12+P13</f>
        <v>32775228</v>
      </c>
      <c r="Q14" s="32" t="e">
        <f>#REF!+#REF!+#REF!+Q6+#REF!+#REF!+#REF!+Q8+Q9+Q12+#REF!+#REF!+#REF!+#REF!+#REF!+#REF!+#REF!+#REF!+Q13+#REF!+#REF!+#REF!+#REF!+#REF!+#REF!+#REF!+#REF!+#REF!+#REF!+#REF!+#REF!+#REF!</f>
        <v>#REF!</v>
      </c>
      <c r="R14" s="33" t="e">
        <f>P14+Q14</f>
        <v>#REF!</v>
      </c>
      <c r="S14" s="34">
        <f>SUM(S4:S13)</f>
        <v>3949715</v>
      </c>
      <c r="T14" s="35" t="e">
        <f>SUM(T4:T13)</f>
        <v>#VALUE!</v>
      </c>
      <c r="U14" s="12"/>
      <c r="V14" s="12"/>
      <c r="W14" s="12"/>
      <c r="X14" s="13"/>
      <c r="Y14" s="13"/>
      <c r="Z14" s="13"/>
      <c r="AA14" s="13"/>
    </row>
    <row r="15" spans="1:23" ht="28.5" customHeight="1">
      <c r="A15" s="36" t="s">
        <v>43</v>
      </c>
      <c r="B15" s="83">
        <v>3632</v>
      </c>
      <c r="C15" s="83">
        <v>2318</v>
      </c>
      <c r="D15" s="83">
        <v>461</v>
      </c>
      <c r="E15" s="83">
        <v>149</v>
      </c>
      <c r="F15" s="83">
        <v>226</v>
      </c>
      <c r="G15" s="83">
        <v>209</v>
      </c>
      <c r="H15" s="83">
        <v>326</v>
      </c>
      <c r="I15" s="83">
        <v>139</v>
      </c>
      <c r="J15" s="83">
        <v>94</v>
      </c>
      <c r="K15" s="83">
        <v>244</v>
      </c>
      <c r="L15" s="83">
        <v>273</v>
      </c>
      <c r="M15" s="83">
        <v>766</v>
      </c>
      <c r="N15" s="83">
        <v>515</v>
      </c>
      <c r="O15" s="83">
        <v>277</v>
      </c>
      <c r="P15" s="88">
        <f t="shared" si="2"/>
        <v>9629</v>
      </c>
      <c r="Q15" s="37"/>
      <c r="R15" s="38"/>
      <c r="S15" s="39"/>
      <c r="T15" s="39"/>
      <c r="U15" s="40"/>
      <c r="V15" s="40"/>
      <c r="W15" s="41"/>
    </row>
    <row r="16" spans="1:23" ht="29.25" customHeight="1">
      <c r="A16" s="92" t="s">
        <v>41</v>
      </c>
      <c r="B16" s="83">
        <f>B14/B15</f>
        <v>3102.332323788546</v>
      </c>
      <c r="C16" s="83">
        <f>C14/C15</f>
        <v>892.1850733390854</v>
      </c>
      <c r="D16" s="83">
        <f>D14/D15</f>
        <v>1245.7830802603037</v>
      </c>
      <c r="E16" s="83">
        <f aca="true" t="shared" si="4" ref="E16:O16">E14/E15</f>
        <v>1212.8523489932886</v>
      </c>
      <c r="F16" s="83">
        <f t="shared" si="4"/>
        <v>1376.5486725663716</v>
      </c>
      <c r="G16" s="83">
        <f t="shared" si="4"/>
        <v>977.5119617224881</v>
      </c>
      <c r="H16" s="83">
        <f t="shared" si="4"/>
        <v>1342.0245398773006</v>
      </c>
      <c r="I16" s="83">
        <f t="shared" si="4"/>
        <v>1239.568345323741</v>
      </c>
      <c r="J16" s="83">
        <f t="shared" si="4"/>
        <v>986.1702127659574</v>
      </c>
      <c r="K16" s="83">
        <f t="shared" si="4"/>
        <v>1052.4590163934427</v>
      </c>
      <c r="L16" s="83">
        <f t="shared" si="4"/>
        <v>47706.99633699634</v>
      </c>
      <c r="M16" s="83">
        <f t="shared" si="4"/>
        <v>2460.9503916449084</v>
      </c>
      <c r="N16" s="83">
        <f t="shared" si="4"/>
        <v>3570.980582524272</v>
      </c>
      <c r="O16" s="83">
        <f t="shared" si="4"/>
        <v>1666.4259927797834</v>
      </c>
      <c r="P16" s="89">
        <f>P14/P15</f>
        <v>3403.803925641292</v>
      </c>
      <c r="Q16" s="43" t="e">
        <f>Q14/Q15</f>
        <v>#REF!</v>
      </c>
      <c r="R16" s="44" t="e">
        <f>R14/R15</f>
        <v>#REF!</v>
      </c>
      <c r="S16" s="44" t="e">
        <f>S14/S15</f>
        <v>#DIV/0!</v>
      </c>
      <c r="T16" s="44" t="e">
        <f>T14/T15</f>
        <v>#VALUE!</v>
      </c>
      <c r="U16" s="40"/>
      <c r="V16" s="40"/>
      <c r="W16" s="41"/>
    </row>
    <row r="17" spans="1:23" ht="18" customHeight="1">
      <c r="A17" s="42" t="s">
        <v>6</v>
      </c>
      <c r="B17" s="84">
        <f>B16/$P$16</f>
        <v>0.9114309729823972</v>
      </c>
      <c r="C17" s="84">
        <f>C16/$P$16</f>
        <v>0.262114120798246</v>
      </c>
      <c r="D17" s="84">
        <f>D16/$P$16</f>
        <v>0.3659973099142579</v>
      </c>
      <c r="E17" s="84">
        <f>E16/$P$16</f>
        <v>0.3563226247718666</v>
      </c>
      <c r="F17" s="84">
        <f aca="true" t="shared" si="5" ref="F17:T17">F16/$P$16</f>
        <v>0.40441479669162306</v>
      </c>
      <c r="G17" s="84">
        <f t="shared" si="5"/>
        <v>0.28718221821144424</v>
      </c>
      <c r="H17" s="84">
        <f t="shared" si="5"/>
        <v>0.3942719878097729</v>
      </c>
      <c r="I17" s="84">
        <f t="shared" si="5"/>
        <v>0.36417148942861055</v>
      </c>
      <c r="J17" s="84">
        <f t="shared" si="5"/>
        <v>0.2897259167418577</v>
      </c>
      <c r="K17" s="84">
        <f t="shared" si="5"/>
        <v>0.3092008351201236</v>
      </c>
      <c r="L17" s="84">
        <f t="shared" si="5"/>
        <v>14.015788623314466</v>
      </c>
      <c r="M17" s="84">
        <f t="shared" si="5"/>
        <v>0.7230000450690632</v>
      </c>
      <c r="N17" s="84">
        <f t="shared" si="5"/>
        <v>1.049114655407621</v>
      </c>
      <c r="O17" s="84">
        <f>O16/$P$16</f>
        <v>0.48957755181677254</v>
      </c>
      <c r="P17" s="90">
        <f>P16/$P$16</f>
        <v>1</v>
      </c>
      <c r="Q17" s="45" t="e">
        <f t="shared" si="5"/>
        <v>#REF!</v>
      </c>
      <c r="R17" s="46" t="e">
        <f t="shared" si="5"/>
        <v>#REF!</v>
      </c>
      <c r="S17" s="46" t="e">
        <f t="shared" si="5"/>
        <v>#DIV/0!</v>
      </c>
      <c r="T17" s="46" t="e">
        <f t="shared" si="5"/>
        <v>#VALUE!</v>
      </c>
      <c r="U17" s="40"/>
      <c r="V17" s="40"/>
      <c r="W17" s="41"/>
    </row>
    <row r="18" spans="1:18" ht="17.25" customHeight="1">
      <c r="A18" s="47" t="s">
        <v>7</v>
      </c>
      <c r="B18" s="84">
        <v>1.034</v>
      </c>
      <c r="C18" s="84">
        <v>1.037</v>
      </c>
      <c r="D18" s="84">
        <v>0.956</v>
      </c>
      <c r="E18" s="84">
        <v>0.988</v>
      </c>
      <c r="F18" s="84">
        <v>0.954</v>
      </c>
      <c r="G18" s="84">
        <v>0.959</v>
      </c>
      <c r="H18" s="84">
        <v>0.959</v>
      </c>
      <c r="I18" s="84">
        <v>0.995</v>
      </c>
      <c r="J18" s="84">
        <v>1.046</v>
      </c>
      <c r="K18" s="84">
        <v>0.949</v>
      </c>
      <c r="L18" s="84">
        <v>0.943</v>
      </c>
      <c r="M18" s="84">
        <v>0.898</v>
      </c>
      <c r="N18" s="84">
        <v>0.917</v>
      </c>
      <c r="O18" s="84">
        <v>0.942</v>
      </c>
      <c r="P18" s="90">
        <v>1</v>
      </c>
      <c r="Q18" s="1"/>
      <c r="R18" s="1"/>
    </row>
    <row r="19" spans="1:18" ht="15.75">
      <c r="A19" s="48" t="s">
        <v>8</v>
      </c>
      <c r="B19" s="85">
        <f>B17/B18</f>
        <v>0.8814612891512545</v>
      </c>
      <c r="C19" s="85">
        <f>C17/C18</f>
        <v>0.2527619294100733</v>
      </c>
      <c r="D19" s="85">
        <f>D17/D18</f>
        <v>0.38284237438729907</v>
      </c>
      <c r="E19" s="85">
        <f aca="true" t="shared" si="6" ref="E19:O19">E17/E18</f>
        <v>0.3606504299310391</v>
      </c>
      <c r="F19" s="85">
        <f t="shared" si="6"/>
        <v>0.42391488122811644</v>
      </c>
      <c r="G19" s="85">
        <f t="shared" si="6"/>
        <v>0.29946008155520776</v>
      </c>
      <c r="H19" s="85">
        <f t="shared" si="6"/>
        <v>0.4111282458913169</v>
      </c>
      <c r="I19" s="85">
        <f t="shared" si="6"/>
        <v>0.36600149691317646</v>
      </c>
      <c r="J19" s="85">
        <f t="shared" si="6"/>
        <v>0.27698462403619284</v>
      </c>
      <c r="K19" s="85">
        <f t="shared" si="6"/>
        <v>0.32581752910445055</v>
      </c>
      <c r="L19" s="85">
        <f t="shared" si="6"/>
        <v>14.862978391637823</v>
      </c>
      <c r="M19" s="85">
        <f>M17/M18</f>
        <v>0.8051225446203376</v>
      </c>
      <c r="N19" s="85">
        <f t="shared" si="6"/>
        <v>1.144072688557929</v>
      </c>
      <c r="O19" s="85">
        <f t="shared" si="6"/>
        <v>0.5197213925868074</v>
      </c>
      <c r="P19" s="91">
        <f>P17/P18</f>
        <v>1</v>
      </c>
      <c r="Q19" s="1"/>
      <c r="R19" s="1"/>
    </row>
    <row r="20" spans="1:21" ht="9.7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2"/>
      <c r="R20" s="52"/>
      <c r="S20" s="53"/>
      <c r="T20" s="53"/>
      <c r="U20" s="54"/>
    </row>
    <row r="21" spans="1:21" ht="15.75">
      <c r="A21" s="105" t="s">
        <v>15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7"/>
      <c r="Q21" s="52"/>
      <c r="R21" s="52"/>
      <c r="S21" s="53"/>
      <c r="T21" s="53"/>
      <c r="U21" s="54"/>
    </row>
    <row r="22" spans="1:21" ht="25.5">
      <c r="A22" s="59" t="s">
        <v>10</v>
      </c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5"/>
      <c r="M22" s="65"/>
      <c r="N22" s="65"/>
      <c r="O22" s="66"/>
      <c r="P22" s="68">
        <v>1</v>
      </c>
      <c r="Q22" s="52"/>
      <c r="R22" s="52"/>
      <c r="S22" s="53"/>
      <c r="T22" s="53"/>
      <c r="U22" s="54"/>
    </row>
    <row r="23" spans="1:22" s="55" customFormat="1" ht="25.5">
      <c r="A23" s="57" t="s">
        <v>9</v>
      </c>
      <c r="B23" s="87">
        <f>IF(B19&lt;$P$22,$P14/$P15*($P22-B19)*B18*B15,0)</f>
        <v>1515273.7970987656</v>
      </c>
      <c r="C23" s="87">
        <f>ROUND(IF(C19&lt;$P$22,$P14/$P15*($P22-C19)*C18*C15,0),-2)</f>
        <v>6113900</v>
      </c>
      <c r="D23" s="87">
        <f>ROUND(IF(D19&lt;$P$22,$P14/$P15*($P22-D19)*D18*D15,0),-2)</f>
        <v>925800</v>
      </c>
      <c r="E23" s="87">
        <f>ROUND(IF(E19&lt;$P$22,$P14/$P15*($P22-E19)*E18*E15,0),-2)</f>
        <v>320400</v>
      </c>
      <c r="F23" s="87">
        <f aca="true" t="shared" si="7" ref="F23:O23">ROUND(IF(F19&lt;$P$22,$P14/$P15*($P22-F19)*F18*F15,0),-2)</f>
        <v>422800</v>
      </c>
      <c r="G23" s="87">
        <f t="shared" si="7"/>
        <v>477900</v>
      </c>
      <c r="H23" s="87">
        <f t="shared" si="7"/>
        <v>626600</v>
      </c>
      <c r="I23" s="87">
        <f t="shared" si="7"/>
        <v>298500</v>
      </c>
      <c r="J23" s="87">
        <f t="shared" si="7"/>
        <v>242000</v>
      </c>
      <c r="K23" s="87">
        <f>ROUND(IF(K19&lt;$P$22,$P14/$P15*($P22-K19)*K18*K15,0),-2)</f>
        <v>531400</v>
      </c>
      <c r="L23" s="87">
        <f t="shared" si="7"/>
        <v>0</v>
      </c>
      <c r="M23" s="87">
        <f t="shared" si="7"/>
        <v>456300</v>
      </c>
      <c r="N23" s="87">
        <f t="shared" si="7"/>
        <v>0</v>
      </c>
      <c r="O23" s="87">
        <f t="shared" si="7"/>
        <v>426600</v>
      </c>
      <c r="P23" s="87">
        <f>SUM(B23:O23)</f>
        <v>12357473.797098765</v>
      </c>
      <c r="U23" s="56"/>
      <c r="V23" s="60"/>
    </row>
    <row r="24" spans="1:22" s="55" customFormat="1" ht="60">
      <c r="A24" s="58" t="s">
        <v>16</v>
      </c>
      <c r="B24" s="87">
        <f>ROUND($P24*B23/$P23,0)</f>
        <v>311590</v>
      </c>
      <c r="C24" s="87">
        <f>ROUND($P24*C23/$P23,0)-4</f>
        <v>1257213</v>
      </c>
      <c r="D24" s="87">
        <f>ROUND($P24*D23/$P23,0)-6</f>
        <v>190369</v>
      </c>
      <c r="E24" s="87">
        <f>ROUND($P24*E23/$P23,0)+5</f>
        <v>65890</v>
      </c>
      <c r="F24" s="87">
        <f>ROUND($P24*F23/$P23,0)+5</f>
        <v>86946</v>
      </c>
      <c r="G24" s="87">
        <f>ROUND($P24*G23/$P23,0)+6</f>
        <v>98278</v>
      </c>
      <c r="H24" s="87">
        <f>ROUND($P24*H23/$P23,0)+4</f>
        <v>128853</v>
      </c>
      <c r="I24" s="87">
        <f>ROUND($P24*I23/$P23,0)-1</f>
        <v>61380</v>
      </c>
      <c r="J24" s="87">
        <f>ROUND($P24*J23/$P23,0)-8</f>
        <v>49755</v>
      </c>
      <c r="K24" s="87">
        <f>ROUND($P24*K23/$P23,0)</f>
        <v>109273</v>
      </c>
      <c r="L24" s="87">
        <f>ROUND($P24*L23/$P23,0)</f>
        <v>0</v>
      </c>
      <c r="M24" s="87">
        <f>ROUND($P24*M23/$P23,0)</f>
        <v>93830</v>
      </c>
      <c r="N24" s="87">
        <f>ROUND($P24*N23/$P23,0)</f>
        <v>0</v>
      </c>
      <c r="O24" s="87">
        <f>ROUND($P24*O23/$P23,0)</f>
        <v>87723</v>
      </c>
      <c r="P24" s="87">
        <v>2541100</v>
      </c>
      <c r="U24" s="56"/>
      <c r="V24" s="60"/>
    </row>
    <row r="25" spans="1:22" ht="45">
      <c r="A25" s="58" t="s">
        <v>17</v>
      </c>
      <c r="B25" s="87">
        <f>ROUND($P25*B23/$P23,0)+1</f>
        <v>1203688</v>
      </c>
      <c r="C25" s="87">
        <f>ROUND($P25*C23/$P23,0)</f>
        <v>4856695</v>
      </c>
      <c r="D25" s="87">
        <f>ROUND($P25*D23/$P23,0)</f>
        <v>735427</v>
      </c>
      <c r="E25" s="87">
        <f>ROUND($P25*E23/$P23,0)</f>
        <v>254516</v>
      </c>
      <c r="F25" s="87">
        <f>ROUND($P25*F23/$P23,0)+1</f>
        <v>335860</v>
      </c>
      <c r="G25" s="87">
        <f aca="true" t="shared" si="8" ref="G25:O25">ROUND($P25*G23/$P23,0)</f>
        <v>379629</v>
      </c>
      <c r="H25" s="87">
        <f t="shared" si="8"/>
        <v>497752</v>
      </c>
      <c r="I25" s="87">
        <f t="shared" si="8"/>
        <v>237119</v>
      </c>
      <c r="J25" s="87">
        <f t="shared" si="8"/>
        <v>192237</v>
      </c>
      <c r="K25" s="87">
        <f t="shared" si="8"/>
        <v>422128</v>
      </c>
      <c r="L25" s="87">
        <f t="shared" si="8"/>
        <v>0</v>
      </c>
      <c r="M25" s="87">
        <f t="shared" si="8"/>
        <v>362471</v>
      </c>
      <c r="N25" s="87">
        <f t="shared" si="8"/>
        <v>0</v>
      </c>
      <c r="O25" s="87">
        <f t="shared" si="8"/>
        <v>338878</v>
      </c>
      <c r="P25" s="87">
        <f>+P23-P24+26</f>
        <v>9816399.797098765</v>
      </c>
      <c r="U25" s="60"/>
      <c r="V25" s="60"/>
    </row>
    <row r="26" spans="1:22" ht="15">
      <c r="A26" s="69" t="s">
        <v>21</v>
      </c>
      <c r="B26" s="87">
        <f>SUM(B24:B25)</f>
        <v>1515278</v>
      </c>
      <c r="C26" s="87">
        <f>SUM(C24:C25)</f>
        <v>6113908</v>
      </c>
      <c r="D26" s="87">
        <f aca="true" t="shared" si="9" ref="D26:T26">SUM(D24:D25)</f>
        <v>925796</v>
      </c>
      <c r="E26" s="87">
        <f t="shared" si="9"/>
        <v>320406</v>
      </c>
      <c r="F26" s="87">
        <f t="shared" si="9"/>
        <v>422806</v>
      </c>
      <c r="G26" s="87">
        <f t="shared" si="9"/>
        <v>477907</v>
      </c>
      <c r="H26" s="87">
        <f t="shared" si="9"/>
        <v>626605</v>
      </c>
      <c r="I26" s="87">
        <f t="shared" si="9"/>
        <v>298499</v>
      </c>
      <c r="J26" s="87">
        <f t="shared" si="9"/>
        <v>241992</v>
      </c>
      <c r="K26" s="87">
        <f t="shared" si="9"/>
        <v>531401</v>
      </c>
      <c r="L26" s="87">
        <f t="shared" si="9"/>
        <v>0</v>
      </c>
      <c r="M26" s="87">
        <f t="shared" si="9"/>
        <v>456301</v>
      </c>
      <c r="N26" s="87">
        <f t="shared" si="9"/>
        <v>0</v>
      </c>
      <c r="O26" s="87">
        <f t="shared" si="9"/>
        <v>426601</v>
      </c>
      <c r="P26" s="87">
        <f t="shared" si="9"/>
        <v>12357499.797098765</v>
      </c>
      <c r="Q26" s="70">
        <f t="shared" si="9"/>
        <v>0</v>
      </c>
      <c r="R26" s="70">
        <f t="shared" si="9"/>
        <v>0</v>
      </c>
      <c r="S26" s="70">
        <f t="shared" si="9"/>
        <v>0</v>
      </c>
      <c r="T26" s="70">
        <f t="shared" si="9"/>
        <v>0</v>
      </c>
      <c r="U26" s="60"/>
      <c r="V26" s="60"/>
    </row>
    <row r="27" spans="1:16" ht="38.25" customHeight="1">
      <c r="A27" s="71" t="s">
        <v>20</v>
      </c>
      <c r="B27" s="86">
        <f>B19+(B26/(B15*B18*$P$16))</f>
        <v>1.0000003287897508</v>
      </c>
      <c r="C27" s="86">
        <f>C19+(C26/(C15*C18*$P$16))</f>
        <v>1.0000054819312136</v>
      </c>
      <c r="D27" s="86">
        <f aca="true" t="shared" si="10" ref="D27:O27">D19+(D26/(D15*D18*$P$16))</f>
        <v>0.9999940998407402</v>
      </c>
      <c r="E27" s="86">
        <f t="shared" si="10"/>
        <v>1.0000802595106784</v>
      </c>
      <c r="F27" s="86">
        <f t="shared" si="10"/>
        <v>1.0000439563568049</v>
      </c>
      <c r="G27" s="86">
        <f t="shared" si="10"/>
        <v>0.9999694755630623</v>
      </c>
      <c r="H27" s="86">
        <f t="shared" si="10"/>
        <v>0.9999625647866965</v>
      </c>
      <c r="I27" s="86">
        <f t="shared" si="10"/>
        <v>1.0000762550506475</v>
      </c>
      <c r="J27" s="86">
        <f t="shared" si="10"/>
        <v>1.0000489513260136</v>
      </c>
      <c r="K27" s="86">
        <f t="shared" si="10"/>
        <v>1.0000377813771693</v>
      </c>
      <c r="L27" s="86">
        <f t="shared" si="10"/>
        <v>14.862978391637823</v>
      </c>
      <c r="M27" s="86">
        <f t="shared" si="10"/>
        <v>1.0000090550818146</v>
      </c>
      <c r="N27" s="86">
        <f t="shared" si="10"/>
        <v>1.144072688557929</v>
      </c>
      <c r="O27" s="86">
        <f t="shared" si="10"/>
        <v>1.00003695974219</v>
      </c>
      <c r="P27" s="86"/>
    </row>
    <row r="29" spans="2:16" ht="12.7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</sheetData>
  <sheetProtection formatCells="0"/>
  <mergeCells count="1">
    <mergeCell ref="A21:P21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 Мезень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михеева</cp:lastModifiedBy>
  <cp:lastPrinted>2013-10-27T09:58:34Z</cp:lastPrinted>
  <dcterms:created xsi:type="dcterms:W3CDTF">2001-03-01T07:10:00Z</dcterms:created>
  <dcterms:modified xsi:type="dcterms:W3CDTF">2014-12-12T15:31:58Z</dcterms:modified>
  <cp:category/>
  <cp:version/>
  <cp:contentType/>
  <cp:contentStatus/>
</cp:coreProperties>
</file>